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общее меню" sheetId="1" r:id="rId1"/>
    <sheet name="1 группа" sheetId="2" r:id="rId2"/>
    <sheet name="2 группа" sheetId="4" r:id="rId3"/>
    <sheet name="общее меню (2)" sheetId="6" r:id="rId4"/>
  </sheets>
  <calcPr calcId="144525"/>
</workbook>
</file>

<file path=xl/calcChain.xml><?xml version="1.0" encoding="utf-8"?>
<calcChain xmlns="http://schemas.openxmlformats.org/spreadsheetml/2006/main">
  <c r="K20" i="2" l="1"/>
  <c r="J20" i="2"/>
  <c r="I20" i="2"/>
  <c r="H20" i="2"/>
  <c r="G20" i="2"/>
  <c r="F86" i="2" l="1"/>
  <c r="K192" i="2" l="1"/>
  <c r="J192" i="2"/>
  <c r="I192" i="2"/>
  <c r="H192" i="2"/>
  <c r="G192" i="2"/>
  <c r="J189" i="2"/>
  <c r="I189" i="2"/>
  <c r="H189" i="2"/>
  <c r="G189" i="2"/>
  <c r="K173" i="2"/>
  <c r="J173" i="2"/>
  <c r="I173" i="2"/>
  <c r="H173" i="2"/>
  <c r="G173" i="2"/>
  <c r="K168" i="2"/>
  <c r="J168" i="2"/>
  <c r="I168" i="2"/>
  <c r="H168" i="2"/>
  <c r="G168" i="2"/>
  <c r="K155" i="2"/>
  <c r="J155" i="2"/>
  <c r="I155" i="2"/>
  <c r="H155" i="2"/>
  <c r="G155" i="2"/>
  <c r="K150" i="2"/>
  <c r="J150" i="2"/>
  <c r="I150" i="2"/>
  <c r="H150" i="2"/>
  <c r="G150" i="2"/>
  <c r="K145" i="2"/>
  <c r="J145" i="2"/>
  <c r="I145" i="2"/>
  <c r="H145" i="2"/>
  <c r="G145" i="2"/>
  <c r="K140" i="2"/>
  <c r="J140" i="2"/>
  <c r="I140" i="2"/>
  <c r="H140" i="2"/>
  <c r="G140" i="2"/>
  <c r="K137" i="2"/>
  <c r="J137" i="2"/>
  <c r="I137" i="2"/>
  <c r="H137" i="2"/>
  <c r="G137" i="2"/>
  <c r="J134" i="2"/>
  <c r="I134" i="2"/>
  <c r="H134" i="2"/>
  <c r="G134" i="2"/>
  <c r="K132" i="2"/>
  <c r="J132" i="2"/>
  <c r="I132" i="2"/>
  <c r="H132" i="2"/>
  <c r="G132" i="2"/>
  <c r="K117" i="2"/>
  <c r="J117" i="2"/>
  <c r="I117" i="2"/>
  <c r="H117" i="2"/>
  <c r="G117" i="2"/>
  <c r="J170" i="2"/>
  <c r="I170" i="2"/>
  <c r="H170" i="2"/>
  <c r="G170" i="2"/>
  <c r="J114" i="2"/>
  <c r="I114" i="2"/>
  <c r="H114" i="2"/>
  <c r="G114" i="2"/>
  <c r="K112" i="2"/>
  <c r="J112" i="2"/>
  <c r="I112" i="2"/>
  <c r="H112" i="2"/>
  <c r="G112" i="2"/>
  <c r="K98" i="2"/>
  <c r="J98" i="2"/>
  <c r="I98" i="2"/>
  <c r="H98" i="2"/>
  <c r="G98" i="2"/>
  <c r="K95" i="2"/>
  <c r="J95" i="2"/>
  <c r="I95" i="2"/>
  <c r="H95" i="2"/>
  <c r="G95" i="2"/>
  <c r="K93" i="2"/>
  <c r="J93" i="2"/>
  <c r="I93" i="2"/>
  <c r="H93" i="2"/>
  <c r="G93" i="2"/>
  <c r="K193" i="2"/>
  <c r="J193" i="2"/>
  <c r="I193" i="2"/>
  <c r="H193" i="2"/>
  <c r="G193" i="2"/>
  <c r="K174" i="2"/>
  <c r="J174" i="2"/>
  <c r="I174" i="2"/>
  <c r="H174" i="2"/>
  <c r="G174" i="2"/>
  <c r="K156" i="2"/>
  <c r="J156" i="2"/>
  <c r="I156" i="2"/>
  <c r="H156" i="2"/>
  <c r="G156" i="2"/>
  <c r="K138" i="2"/>
  <c r="J138" i="2"/>
  <c r="I138" i="2"/>
  <c r="H138" i="2"/>
  <c r="G138" i="2"/>
  <c r="K118" i="2"/>
  <c r="J118" i="2"/>
  <c r="I118" i="2"/>
  <c r="H118" i="2"/>
  <c r="G118" i="2"/>
  <c r="K99" i="2"/>
  <c r="J99" i="2"/>
  <c r="I99" i="2"/>
  <c r="H99" i="2"/>
  <c r="G99" i="2"/>
  <c r="K80" i="2"/>
  <c r="J80" i="2"/>
  <c r="I80" i="2"/>
  <c r="H80" i="2"/>
  <c r="G80" i="2"/>
  <c r="K79" i="2"/>
  <c r="J79" i="2"/>
  <c r="I79" i="2"/>
  <c r="H79" i="2"/>
  <c r="G79" i="2"/>
  <c r="K172" i="2"/>
  <c r="J172" i="2"/>
  <c r="I172" i="2"/>
  <c r="H172" i="2"/>
  <c r="G172" i="2"/>
  <c r="K154" i="2"/>
  <c r="J154" i="2"/>
  <c r="I154" i="2"/>
  <c r="H154" i="2"/>
  <c r="G154" i="2"/>
  <c r="K136" i="2"/>
  <c r="J136" i="2"/>
  <c r="I136" i="2"/>
  <c r="H136" i="2"/>
  <c r="G136" i="2"/>
  <c r="K116" i="2"/>
  <c r="J116" i="2"/>
  <c r="I116" i="2"/>
  <c r="H116" i="2"/>
  <c r="G116" i="2"/>
  <c r="K97" i="2"/>
  <c r="J97" i="2"/>
  <c r="I97" i="2"/>
  <c r="H97" i="2"/>
  <c r="G97" i="2"/>
  <c r="K78" i="2"/>
  <c r="J78" i="2"/>
  <c r="I78" i="2"/>
  <c r="H78" i="2"/>
  <c r="G78" i="2"/>
  <c r="J76" i="2"/>
  <c r="I76" i="2"/>
  <c r="H76" i="2"/>
  <c r="G76" i="2"/>
  <c r="K74" i="2"/>
  <c r="J74" i="2"/>
  <c r="I74" i="2"/>
  <c r="H74" i="2"/>
  <c r="G74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J56" i="2"/>
  <c r="I56" i="2"/>
  <c r="H56" i="2"/>
  <c r="G56" i="2"/>
  <c r="K54" i="2"/>
  <c r="J54" i="2"/>
  <c r="I54" i="2"/>
  <c r="H54" i="2"/>
  <c r="G54" i="2"/>
  <c r="K41" i="2"/>
  <c r="J41" i="2"/>
  <c r="I41" i="2"/>
  <c r="H41" i="2"/>
  <c r="G41" i="2"/>
  <c r="K40" i="2"/>
  <c r="J40" i="2"/>
  <c r="I40" i="2"/>
  <c r="H40" i="2"/>
  <c r="G40" i="2"/>
  <c r="K39" i="2"/>
  <c r="J39" i="2"/>
  <c r="I39" i="2"/>
  <c r="H39" i="2"/>
  <c r="G39" i="2"/>
  <c r="J37" i="2"/>
  <c r="I37" i="2"/>
  <c r="H37" i="2"/>
  <c r="K86" i="2" l="1"/>
  <c r="G37" i="2"/>
  <c r="J36" i="2"/>
  <c r="I36" i="2"/>
  <c r="H36" i="2"/>
  <c r="G36" i="2"/>
  <c r="K35" i="2"/>
  <c r="J35" i="2"/>
  <c r="I35" i="2"/>
  <c r="H35" i="2"/>
  <c r="G35" i="2"/>
  <c r="K19" i="2"/>
  <c r="J19" i="2"/>
  <c r="I19" i="2"/>
  <c r="H19" i="2"/>
  <c r="G19" i="2"/>
  <c r="J17" i="2"/>
  <c r="I17" i="2"/>
  <c r="H17" i="2"/>
  <c r="G17" i="2"/>
  <c r="J16" i="4" l="1"/>
  <c r="I16" i="4"/>
  <c r="H16" i="4"/>
  <c r="G16" i="4"/>
  <c r="F192" i="4"/>
  <c r="J190" i="4"/>
  <c r="I190" i="4"/>
  <c r="H190" i="4"/>
  <c r="G190" i="4"/>
  <c r="J182" i="4"/>
  <c r="I182" i="4"/>
  <c r="H182" i="4"/>
  <c r="G182" i="4"/>
  <c r="K176" i="4"/>
  <c r="K192" i="4" s="1"/>
  <c r="J176" i="4"/>
  <c r="I176" i="4"/>
  <c r="H176" i="4"/>
  <c r="G176" i="4"/>
  <c r="K174" i="4"/>
  <c r="F174" i="4"/>
  <c r="J172" i="4"/>
  <c r="I172" i="4"/>
  <c r="H172" i="4"/>
  <c r="G172" i="4"/>
  <c r="J164" i="4"/>
  <c r="J174" i="4" s="1"/>
  <c r="I164" i="4"/>
  <c r="I174" i="4" s="1"/>
  <c r="H164" i="4"/>
  <c r="H174" i="4" s="1"/>
  <c r="G164" i="4"/>
  <c r="G174" i="4" s="1"/>
  <c r="K156" i="4"/>
  <c r="F156" i="4"/>
  <c r="J154" i="4"/>
  <c r="I154" i="4"/>
  <c r="H154" i="4"/>
  <c r="G154" i="4"/>
  <c r="J146" i="4"/>
  <c r="J156" i="4" s="1"/>
  <c r="I146" i="4"/>
  <c r="I156" i="4" s="1"/>
  <c r="H146" i="4"/>
  <c r="H156" i="4" s="1"/>
  <c r="G146" i="4"/>
  <c r="G156" i="4" s="1"/>
  <c r="K138" i="4"/>
  <c r="F138" i="4"/>
  <c r="J136" i="4"/>
  <c r="I136" i="4"/>
  <c r="H136" i="4"/>
  <c r="G136" i="4"/>
  <c r="J128" i="4"/>
  <c r="J138" i="4" s="1"/>
  <c r="I128" i="4"/>
  <c r="I138" i="4" s="1"/>
  <c r="H128" i="4"/>
  <c r="H138" i="4" s="1"/>
  <c r="G128" i="4"/>
  <c r="G138" i="4" s="1"/>
  <c r="K119" i="4"/>
  <c r="F119" i="4"/>
  <c r="J117" i="4"/>
  <c r="I117" i="4"/>
  <c r="H117" i="4"/>
  <c r="G117" i="4"/>
  <c r="J109" i="4"/>
  <c r="J119" i="4" s="1"/>
  <c r="I109" i="4"/>
  <c r="I119" i="4" s="1"/>
  <c r="H109" i="4"/>
  <c r="H119" i="4" s="1"/>
  <c r="G109" i="4"/>
  <c r="G119" i="4" s="1"/>
  <c r="K101" i="4"/>
  <c r="F101" i="4"/>
  <c r="J99" i="4"/>
  <c r="I99" i="4"/>
  <c r="H99" i="4"/>
  <c r="G99" i="4"/>
  <c r="J91" i="4"/>
  <c r="J101" i="4" s="1"/>
  <c r="I91" i="4"/>
  <c r="I101" i="4" s="1"/>
  <c r="H91" i="4"/>
  <c r="H101" i="4" s="1"/>
  <c r="G91" i="4"/>
  <c r="G101" i="4" s="1"/>
  <c r="F83" i="4"/>
  <c r="J81" i="4"/>
  <c r="I81" i="4"/>
  <c r="H81" i="4"/>
  <c r="G81" i="4"/>
  <c r="J73" i="4"/>
  <c r="I73" i="4"/>
  <c r="H73" i="4"/>
  <c r="G73" i="4"/>
  <c r="K67" i="4"/>
  <c r="K83" i="4" s="1"/>
  <c r="J67" i="4"/>
  <c r="I67" i="4"/>
  <c r="I83" i="4" s="1"/>
  <c r="H67" i="4"/>
  <c r="G67" i="4"/>
  <c r="F65" i="4"/>
  <c r="J62" i="4"/>
  <c r="I62" i="4"/>
  <c r="H62" i="4"/>
  <c r="G62" i="4"/>
  <c r="J53" i="4"/>
  <c r="I53" i="4"/>
  <c r="H53" i="4"/>
  <c r="G53" i="4"/>
  <c r="K47" i="4"/>
  <c r="K65" i="4" s="1"/>
  <c r="J47" i="4"/>
  <c r="I47" i="4"/>
  <c r="I65" i="4" s="1"/>
  <c r="H47" i="4"/>
  <c r="G47" i="4"/>
  <c r="K45" i="4"/>
  <c r="I45" i="4"/>
  <c r="F45" i="4"/>
  <c r="J43" i="4"/>
  <c r="J45" i="4" s="1"/>
  <c r="I43" i="4"/>
  <c r="H43" i="4"/>
  <c r="H45" i="4" s="1"/>
  <c r="G43" i="4"/>
  <c r="G45" i="4" s="1"/>
  <c r="F26" i="4"/>
  <c r="J24" i="4"/>
  <c r="I24" i="4"/>
  <c r="H24" i="4"/>
  <c r="G24" i="4"/>
  <c r="K10" i="4"/>
  <c r="K26" i="4" s="1"/>
  <c r="J10" i="4"/>
  <c r="I10" i="4"/>
  <c r="H10" i="4"/>
  <c r="G10" i="4"/>
  <c r="J65" i="4" l="1"/>
  <c r="H83" i="4"/>
  <c r="G192" i="4"/>
  <c r="I192" i="4"/>
  <c r="J192" i="4"/>
  <c r="G83" i="4"/>
  <c r="H65" i="4"/>
  <c r="J83" i="4"/>
  <c r="H192" i="4"/>
  <c r="F193" i="4"/>
  <c r="G65" i="4"/>
  <c r="G26" i="4"/>
  <c r="J26" i="4"/>
  <c r="I26" i="4"/>
  <c r="H26" i="4"/>
  <c r="K193" i="4"/>
  <c r="K182" i="2"/>
  <c r="J182" i="2"/>
  <c r="I182" i="2"/>
  <c r="H182" i="2"/>
  <c r="G182" i="2"/>
  <c r="K10" i="2"/>
  <c r="J10" i="2"/>
  <c r="I10" i="2"/>
  <c r="H10" i="2"/>
  <c r="G10" i="2"/>
  <c r="K49" i="2"/>
  <c r="J49" i="2"/>
  <c r="I49" i="2"/>
  <c r="H49" i="2"/>
  <c r="G49" i="2"/>
  <c r="K69" i="2"/>
  <c r="J69" i="2"/>
  <c r="I69" i="2"/>
  <c r="H69" i="2"/>
  <c r="G69" i="2"/>
  <c r="I193" i="4" l="1"/>
  <c r="H193" i="4"/>
  <c r="G193" i="4"/>
  <c r="J193" i="4"/>
  <c r="J196" i="2"/>
  <c r="I196" i="2"/>
  <c r="H196" i="2"/>
  <c r="G196" i="2"/>
  <c r="J188" i="2"/>
  <c r="I188" i="2"/>
  <c r="H188" i="2"/>
  <c r="G188" i="2"/>
  <c r="J177" i="2"/>
  <c r="I177" i="2"/>
  <c r="H177" i="2"/>
  <c r="G177" i="2"/>
  <c r="J169" i="2"/>
  <c r="I169" i="2"/>
  <c r="H169" i="2"/>
  <c r="G169" i="2"/>
  <c r="J159" i="2"/>
  <c r="I159" i="2"/>
  <c r="H159" i="2"/>
  <c r="G159" i="2"/>
  <c r="J151" i="2"/>
  <c r="I151" i="2"/>
  <c r="H151" i="2"/>
  <c r="G151" i="2"/>
  <c r="J141" i="2"/>
  <c r="I141" i="2"/>
  <c r="H141" i="2"/>
  <c r="G141" i="2"/>
  <c r="J133" i="2"/>
  <c r="I133" i="2"/>
  <c r="H133" i="2"/>
  <c r="G133" i="2"/>
  <c r="J113" i="2"/>
  <c r="I113" i="2"/>
  <c r="H113" i="2"/>
  <c r="G113" i="2"/>
  <c r="J121" i="2"/>
  <c r="I121" i="2"/>
  <c r="H121" i="2"/>
  <c r="G121" i="2"/>
  <c r="J102" i="2"/>
  <c r="I102" i="2"/>
  <c r="H102" i="2"/>
  <c r="G102" i="2"/>
  <c r="J94" i="2"/>
  <c r="I94" i="2"/>
  <c r="H94" i="2"/>
  <c r="G94" i="2"/>
  <c r="J83" i="2"/>
  <c r="I83" i="2"/>
  <c r="H83" i="2"/>
  <c r="G83" i="2"/>
  <c r="J75" i="2"/>
  <c r="I75" i="2"/>
  <c r="H75" i="2"/>
  <c r="H86" i="2" s="1"/>
  <c r="G75" i="2"/>
  <c r="G86" i="2" s="1"/>
  <c r="J64" i="2"/>
  <c r="I64" i="2"/>
  <c r="H64" i="2"/>
  <c r="G64" i="2"/>
  <c r="J55" i="2"/>
  <c r="I55" i="2"/>
  <c r="H55" i="2"/>
  <c r="G55" i="2"/>
  <c r="K47" i="2" l="1"/>
  <c r="F47" i="2"/>
  <c r="G44" i="2"/>
  <c r="G47" i="2" s="1"/>
  <c r="H44" i="2"/>
  <c r="H47" i="2" s="1"/>
  <c r="I44" i="2"/>
  <c r="I47" i="2" s="1"/>
  <c r="J44" i="2"/>
  <c r="J47" i="2" s="1"/>
  <c r="J24" i="2" l="1"/>
  <c r="I24" i="2"/>
  <c r="H24" i="2"/>
  <c r="G24" i="2"/>
  <c r="J16" i="2"/>
  <c r="I16" i="2"/>
  <c r="H16" i="2"/>
  <c r="G16" i="2"/>
  <c r="K198" i="2" l="1"/>
  <c r="J198" i="2"/>
  <c r="I198" i="2"/>
  <c r="H198" i="2"/>
  <c r="G198" i="2"/>
  <c r="F198" i="2"/>
  <c r="K180" i="2"/>
  <c r="J180" i="2"/>
  <c r="I180" i="2"/>
  <c r="H180" i="2"/>
  <c r="G180" i="2"/>
  <c r="F180" i="2"/>
  <c r="K161" i="2"/>
  <c r="J161" i="2"/>
  <c r="I161" i="2"/>
  <c r="H161" i="2"/>
  <c r="G161" i="2"/>
  <c r="F161" i="2"/>
  <c r="K143" i="2"/>
  <c r="J143" i="2"/>
  <c r="I143" i="2"/>
  <c r="H143" i="2"/>
  <c r="G143" i="2"/>
  <c r="F143" i="2"/>
  <c r="K124" i="2"/>
  <c r="J124" i="2"/>
  <c r="I124" i="2"/>
  <c r="H124" i="2"/>
  <c r="G124" i="2"/>
  <c r="F124" i="2"/>
  <c r="K105" i="2"/>
  <c r="J105" i="2"/>
  <c r="I105" i="2"/>
  <c r="H105" i="2"/>
  <c r="G105" i="2"/>
  <c r="F105" i="2"/>
  <c r="J86" i="2"/>
  <c r="I86" i="2"/>
  <c r="K67" i="2"/>
  <c r="J67" i="2"/>
  <c r="I67" i="2"/>
  <c r="H67" i="2"/>
  <c r="G67" i="2"/>
  <c r="F67" i="2"/>
  <c r="K27" i="2"/>
  <c r="J27" i="2"/>
  <c r="I27" i="2"/>
  <c r="H27" i="2"/>
  <c r="G27" i="2"/>
  <c r="F27" i="2"/>
  <c r="G199" i="2" l="1"/>
  <c r="G200" i="2" s="1"/>
  <c r="K199" i="2"/>
  <c r="K200" i="2" s="1"/>
  <c r="I199" i="2"/>
  <c r="I200" i="2" s="1"/>
  <c r="F199" i="2"/>
  <c r="F200" i="2" s="1"/>
  <c r="J199" i="2"/>
  <c r="J200" i="2" s="1"/>
  <c r="H199" i="2"/>
  <c r="H200" i="2" s="1"/>
</calcChain>
</file>

<file path=xl/sharedStrings.xml><?xml version="1.0" encoding="utf-8"?>
<sst xmlns="http://schemas.openxmlformats.org/spreadsheetml/2006/main" count="866" uniqueCount="317">
  <si>
    <t>1 день</t>
  </si>
  <si>
    <t>2 день</t>
  </si>
  <si>
    <t>3 день</t>
  </si>
  <si>
    <t>4 день</t>
  </si>
  <si>
    <t>5 день</t>
  </si>
  <si>
    <t>6 день</t>
  </si>
  <si>
    <t>7 день</t>
  </si>
  <si>
    <t>9 день</t>
  </si>
  <si>
    <t>10 день</t>
  </si>
  <si>
    <t xml:space="preserve">3. Чай с сахаром </t>
  </si>
  <si>
    <t>3. Чай с сахаром</t>
  </si>
  <si>
    <t>3. Кондитерские изделия</t>
  </si>
  <si>
    <t>1. Каша пшеничная молочная жидкая</t>
  </si>
  <si>
    <t>1. Каша кукурузная молочная жидкая</t>
  </si>
  <si>
    <t>1. Каша геркулесовая молочная жидкая</t>
  </si>
  <si>
    <t xml:space="preserve">1. Каша пшенная молочная жидкая </t>
  </si>
  <si>
    <t>1. Каша гречневая молочная жидкая</t>
  </si>
  <si>
    <t xml:space="preserve">1. Каша ячневая молочная вязкая </t>
  </si>
  <si>
    <t>1. Каша рисовая молочная жидкая</t>
  </si>
  <si>
    <t xml:space="preserve">1. Каша манная молочная жидкая </t>
  </si>
  <si>
    <t xml:space="preserve">3. Чай с молоком </t>
  </si>
  <si>
    <t>3. Чай с мёдом</t>
  </si>
  <si>
    <t xml:space="preserve">3. Какао с молоком </t>
  </si>
  <si>
    <t>2. Пюре детское</t>
  </si>
  <si>
    <t>2. Соус томатный № 348</t>
  </si>
  <si>
    <t>2.Котлеты рыбные любительские</t>
  </si>
  <si>
    <t>2. Соус молочный № 350</t>
  </si>
  <si>
    <t>2.Соус сметанный № 354</t>
  </si>
  <si>
    <t>2. Пюре картофельное №321</t>
  </si>
  <si>
    <t>2. Тефтели рыбные тушенные №261</t>
  </si>
  <si>
    <t>2.Капуста тушенная №336</t>
  </si>
  <si>
    <t>2. Соус молочный № 352</t>
  </si>
  <si>
    <t>2. Рис отварной №315</t>
  </si>
  <si>
    <t>2. Макаронные изделия отварные №317</t>
  </si>
  <si>
    <t>2. Гуляш из отворного мяса №277</t>
  </si>
  <si>
    <t>1. Мясо тушеное с овощами в соусе №274</t>
  </si>
  <si>
    <t>2. Тефтели мясные № 287</t>
  </si>
  <si>
    <t>2.Каша рассыпчатая гречневая  №313</t>
  </si>
  <si>
    <t>1. Жаркое по-домашнему №267</t>
  </si>
  <si>
    <t>2. Рыба, тушенная с овощами №247</t>
  </si>
  <si>
    <t>1. Борщ с мясом и сметаной №62</t>
  </si>
  <si>
    <t>1. Щи из свежей или квашеной капусты с картофелем и сметаной №67</t>
  </si>
  <si>
    <t xml:space="preserve">1. Рассольник на мясном бульоне со сметаной №74 </t>
  </si>
  <si>
    <t>1. Суп картофельный с крупой №80</t>
  </si>
  <si>
    <t>1. Суп картофельный с бобовыми №81</t>
  </si>
  <si>
    <t>1. Суп картофельный с макаронными изделиями №82</t>
  </si>
  <si>
    <t>1. Суп картофельный с мясными фрикадельками №83</t>
  </si>
  <si>
    <t>1. Суп картофельный с рыбными фрикадельками №84</t>
  </si>
  <si>
    <t>1. Суп картофельный с клецками №85</t>
  </si>
  <si>
    <t>1. Суп с рыбными консервами №87</t>
  </si>
  <si>
    <t>2. Фрикадельки рыбные  №263</t>
  </si>
  <si>
    <t>1. Плов из птицы №304</t>
  </si>
  <si>
    <t>2. Соус сметанный с луком № 356</t>
  </si>
  <si>
    <t>2.Каша рассыпчатая пшено  №313</t>
  </si>
  <si>
    <t>2.Каша рассыпчатая ячневая №313</t>
  </si>
  <si>
    <t>2.Каша рассыпчатая пшеничная №313</t>
  </si>
  <si>
    <t>2. Биточки из птицы №306</t>
  </si>
  <si>
    <t>2. Винегрет овощной №45</t>
  </si>
  <si>
    <t>2. Салат из соленых или свежих огурцов №19, №13</t>
  </si>
  <si>
    <t>2. Салат из моркови,яблок с финиками или черносливом №44</t>
  </si>
  <si>
    <t>2. Салат из свеклы с сыром №31</t>
  </si>
  <si>
    <t>2. Салат из горошка зеленого консерв. №10</t>
  </si>
  <si>
    <t>3. Напиток из плодов шиповника №398</t>
  </si>
  <si>
    <t xml:space="preserve">1. Хлеб </t>
  </si>
  <si>
    <t>3.Компот из замороженных ягод с витамином «С»</t>
  </si>
  <si>
    <t>3.Компот из  сухофруктов с витамином «С»</t>
  </si>
  <si>
    <t>3. Кисель с витамином «С»</t>
  </si>
  <si>
    <t>3. Компот из изюма с витамином «С»</t>
  </si>
  <si>
    <t xml:space="preserve">2. Йогурт или Творожок  </t>
  </si>
  <si>
    <t xml:space="preserve">2. Йогурт или Творожок </t>
  </si>
  <si>
    <t>3.Пица "Детская" №465</t>
  </si>
  <si>
    <t xml:space="preserve">3. Пирожки печенные из дрожжевого теста № 454 </t>
  </si>
  <si>
    <t>3.Блинчики № 447 со сгущ. молоком, джемом, вареньем, повидлом, медом.</t>
  </si>
  <si>
    <t>3. Ватрушки № 458 с творогом или повидлом</t>
  </si>
  <si>
    <t>3. Крендель сахорный №460 (хворост)</t>
  </si>
  <si>
    <t>1. Молоко №400</t>
  </si>
  <si>
    <t>1. Сок № 399</t>
  </si>
  <si>
    <t>2.Птица, тушенная  с овощами №302 (гулш)</t>
  </si>
  <si>
    <t>1. Плов мясной №304</t>
  </si>
  <si>
    <t>1. Омлет с зеленым горошком №219</t>
  </si>
  <si>
    <t>1 Запеканка из творога  №237 с джемом, сгущ. молоком. Или замена Омлет № 215</t>
  </si>
  <si>
    <t>3. Чай с сахаром с желейной конфетой</t>
  </si>
  <si>
    <t>3. Чай с сахаром с шоколадной конфетой</t>
  </si>
  <si>
    <t>8         день</t>
  </si>
  <si>
    <t>2. Макаронны отварные №317</t>
  </si>
  <si>
    <t>1.Запеканка овощная № 155</t>
  </si>
  <si>
    <t>2.Бутерброд с №2 джемом или повидлом</t>
  </si>
  <si>
    <t>2.Бутерброд с №3 маслом и сыром</t>
  </si>
  <si>
    <t>2.Бутерброд с №1 маслом и колбасой</t>
  </si>
  <si>
    <t>полдник</t>
  </si>
  <si>
    <t>обед</t>
  </si>
  <si>
    <t>завтрак 2</t>
  </si>
  <si>
    <t>завтрак 1</t>
  </si>
  <si>
    <t>"УТВЕРЖДАЮ"</t>
  </si>
  <si>
    <t xml:space="preserve">Примерное 10-тидневное меню </t>
  </si>
  <si>
    <t>Прием пищи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</si>
  <si>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</si>
  <si>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</si>
  <si>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</si>
  <si>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</si>
  <si>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Витамин С</t>
  </si>
  <si>
    <t>N рецептуры</t>
  </si>
  <si>
    <t>Б</t>
  </si>
  <si>
    <t>Ж</t>
  </si>
  <si>
    <t>У</t>
  </si>
  <si>
    <t>Категория: дети 1-3 лет</t>
  </si>
  <si>
    <t>День 1 (25.01.2017г.)</t>
  </si>
  <si>
    <t>завтрак1</t>
  </si>
  <si>
    <t>итого за первый день:</t>
  </si>
  <si>
    <t>итого за второй день:</t>
  </si>
  <si>
    <t>День 3 (27.01.2017г.)</t>
  </si>
  <si>
    <t>итого за третий день:</t>
  </si>
  <si>
    <t>итого за четвертый день:</t>
  </si>
  <si>
    <t>итого за пятый день:</t>
  </si>
  <si>
    <t>итого за шестой день:</t>
  </si>
  <si>
    <t>итого за седьмой день:</t>
  </si>
  <si>
    <t>День 8 (03.02.2017г.)</t>
  </si>
  <si>
    <t>итого за восьмой день:</t>
  </si>
  <si>
    <t>итого за девятый день:</t>
  </si>
  <si>
    <t>итого за десятый день: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</si>
  <si>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</si>
  <si>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</si>
  <si>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</si>
  <si>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Категория: дети 3-7 лет</t>
  </si>
  <si>
    <t>2. Плоды или ягоды свежие (свежемор) с сахаром № 369</t>
  </si>
  <si>
    <t xml:space="preserve">День 2 </t>
  </si>
  <si>
    <t>2.Бутерброд с  маслом и сыром  №3</t>
  </si>
  <si>
    <t xml:space="preserve"> 2. Салат из белокочанной (свеж. или каш.) капусты №20</t>
  </si>
  <si>
    <t>2. Салат из белокочанной (свеж. или каш.) капусты №20</t>
  </si>
  <si>
    <t xml:space="preserve">3. Биточки манные или рисовые №199 </t>
  </si>
  <si>
    <t>1.Пельмени мясные отварные № 440</t>
  </si>
  <si>
    <t>1. Хлеб №453</t>
  </si>
  <si>
    <t>3. Чай с мёдом с шоколадкой</t>
  </si>
  <si>
    <t>2. Хлеб №453</t>
  </si>
  <si>
    <t>2.Бутерброд с  маслом №1</t>
  </si>
  <si>
    <t>3. Биточки манные или рисовые №199 со сгущ. молок или сивки, вареньем, повидлом, джемом.</t>
  </si>
  <si>
    <t>2.Сосиски, сардельки, язык гов. отварные №275 или  Гуляш из тушенной говядины</t>
  </si>
  <si>
    <t>2.Бутерброд с  джемом или повидлом №2</t>
  </si>
  <si>
    <t>День 4</t>
  </si>
  <si>
    <t>понедельник</t>
  </si>
  <si>
    <t>вторник</t>
  </si>
  <si>
    <t>среда</t>
  </si>
  <si>
    <t>2.Котлеты мясные № 282 или из печени</t>
  </si>
  <si>
    <t>четверг</t>
  </si>
  <si>
    <t xml:space="preserve">3. Песочник с изюмом №492 </t>
  </si>
  <si>
    <t>3. Песочник с изюмом №492</t>
  </si>
  <si>
    <t xml:space="preserve">День 5 </t>
  </si>
  <si>
    <t>пятница</t>
  </si>
  <si>
    <t>1. Рагу овощное</t>
  </si>
  <si>
    <t xml:space="preserve">День 6 </t>
  </si>
  <si>
    <t>День 7</t>
  </si>
  <si>
    <t>2. Салат из свежих или соленых. помидор с луком №14</t>
  </si>
  <si>
    <t xml:space="preserve">3. Компот из плодов </t>
  </si>
  <si>
    <t>1. Каша молочная кукурузная</t>
  </si>
  <si>
    <t>2. Салат из горошка зеленого  №10</t>
  </si>
  <si>
    <t xml:space="preserve">День 9 </t>
  </si>
  <si>
    <t>2. Салат из свежих или соленых овощей №15</t>
  </si>
  <si>
    <t xml:space="preserve">День 10 </t>
  </si>
  <si>
    <t>1.Суп молочный с макаронными изделиями</t>
  </si>
  <si>
    <t>2. Салат из  кальмаров с кукурузой и луком №51</t>
  </si>
  <si>
    <t>270-04</t>
  </si>
  <si>
    <t>132-04</t>
  </si>
  <si>
    <t>131-04</t>
  </si>
  <si>
    <r>
      <t xml:space="preserve">3. Чай с мёдом  </t>
    </r>
    <r>
      <rPr>
        <sz val="11"/>
        <color theme="1"/>
        <rFont val="Calibri"/>
        <family val="2"/>
        <charset val="204"/>
        <scheme val="minor"/>
      </rPr>
      <t>№392</t>
    </r>
    <r>
      <rPr>
        <sz val="11"/>
        <color theme="1"/>
        <rFont val="Calibri"/>
        <family val="2"/>
        <scheme val="minor"/>
      </rPr>
      <t>с шоколадкой</t>
    </r>
  </si>
  <si>
    <t>3. Какао с молоком №397</t>
  </si>
  <si>
    <t>3. Чай с сахаром №392</t>
  </si>
  <si>
    <t>3. Чай с молоком №394</t>
  </si>
  <si>
    <t>3.Компот из замороженных ягод с витамином «С» №375</t>
  </si>
  <si>
    <t>3.Компот из  сухофруктов с витамином «С»№376</t>
  </si>
  <si>
    <t>3. Компот из плодов №377</t>
  </si>
  <si>
    <t>3. Компот из чернослива с витамином «С» №376</t>
  </si>
  <si>
    <t>3. Кисель с витамином «С»№378</t>
  </si>
  <si>
    <t>3. Компот из изюма с витамином «С» №376</t>
  </si>
  <si>
    <t>1. Рагу овощное №342</t>
  </si>
  <si>
    <t>2. Колбаса порциями №9</t>
  </si>
  <si>
    <t>3. Чай с сахаром №392 с желейной конфетой</t>
  </si>
  <si>
    <t>3. Чай с сахаром №392с желейной конфетой</t>
  </si>
  <si>
    <t>3. Чай с сахаром №392 с шоколадной конфетой</t>
  </si>
  <si>
    <t xml:space="preserve"> 3. Чай с мёдом №392</t>
  </si>
  <si>
    <t>1.Суп молочный с макаронными изделиями №93</t>
  </si>
  <si>
    <t>2.Котлеты рыбные любительские №256</t>
  </si>
  <si>
    <t>1. Жаркое по-домашнему №276</t>
  </si>
  <si>
    <t>2.Каша рассыпчатая пшеничная  №313</t>
  </si>
  <si>
    <t>1. Макароны зп. с сыром № 207 или яйцом № 208</t>
  </si>
  <si>
    <t>2. Пюре детское, Йогурт</t>
  </si>
  <si>
    <t xml:space="preserve">1. Борщ с мясом и сметаной №62 и фасолью </t>
  </si>
  <si>
    <t xml:space="preserve">1. Каша пшено молочная жидкая </t>
  </si>
  <si>
    <t>2. Макар. изделия отварные №317</t>
  </si>
  <si>
    <t>3. Компот из чернослива с курагой</t>
  </si>
  <si>
    <t>3. Чай с молоком с печеньем</t>
  </si>
  <si>
    <t>3. Какао с молоком с печеньем</t>
  </si>
  <si>
    <t xml:space="preserve">2.Котлеты мясные № 282 </t>
  </si>
  <si>
    <t xml:space="preserve">3. Какао с молокомс шоколадной конфетой </t>
  </si>
  <si>
    <t>3. Чай с сахаром с  печеньем</t>
  </si>
  <si>
    <t>Примерное 10-тидневное меню</t>
  </si>
  <si>
    <t>2. Салат из свеклы с сыром №31 или морковный</t>
  </si>
  <si>
    <t>3. Сырники из творога №239 или Оладьи №449с  повидлом, сгущ. молоком.</t>
  </si>
  <si>
    <t>3. Кондитерские изделия (пироженное, пряники, выфли и т.д.)</t>
  </si>
  <si>
    <t>3. Кондитерские изделия (печенье  ,  и т.д.)</t>
  </si>
  <si>
    <t>первая неделя меню</t>
  </si>
  <si>
    <t>вторая неделя меню</t>
  </si>
  <si>
    <t>2. Котлеты рыбные тушенные №261</t>
  </si>
  <si>
    <t>2.Птица, тушенная   №302 (гулш)</t>
  </si>
  <si>
    <t>2. Рыба, тушенная №247</t>
  </si>
  <si>
    <t>2.Каша рас-я ячневая №313</t>
  </si>
  <si>
    <t>2.Каша рас-я гречневая №313</t>
  </si>
  <si>
    <t>2.Каша рас-я пшено №313</t>
  </si>
  <si>
    <t>2. Рыба, тушенная  №247</t>
  </si>
  <si>
    <t>1 Запеканка из творога  №237 с джемом, сгущ. молоком.</t>
  </si>
  <si>
    <t>2. Рыба, запеченная луком и морковью  №253</t>
  </si>
  <si>
    <t xml:space="preserve">2.Птица  тушенная №301 </t>
  </si>
  <si>
    <t>2. Соус сметанный  с томатом и луком № 357</t>
  </si>
  <si>
    <t>1. Макароны с мясом или печенью№292</t>
  </si>
  <si>
    <t>2. Котлеты рыбные любительские №256</t>
  </si>
  <si>
    <r>
      <t>Заведующая МКДОУ "Снежинка"  __________________ Коваш Д.П.                                                   "_</t>
    </r>
    <r>
      <rPr>
        <u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_" </t>
    </r>
    <r>
      <rPr>
        <u/>
        <sz val="11"/>
        <color theme="1"/>
        <rFont val="Calibri"/>
        <family val="2"/>
        <charset val="204"/>
        <scheme val="minor"/>
      </rPr>
      <t xml:space="preserve"> __октября__</t>
    </r>
    <r>
      <rPr>
        <sz val="11"/>
        <color theme="1"/>
        <rFont val="Calibri"/>
        <family val="2"/>
        <scheme val="minor"/>
      </rPr>
      <t xml:space="preserve"> 2018 г.</t>
    </r>
  </si>
  <si>
    <t xml:space="preserve">2. Йогурт/ Творожок/ Молочный коктейль  </t>
  </si>
  <si>
    <t xml:space="preserve">2. Йогурт, Творожок или Молочный коктейль  </t>
  </si>
  <si>
    <t>1.Жаркое по-домашнему № 276</t>
  </si>
  <si>
    <t xml:space="preserve">2. Йогурт, Молочный коктейль или Творожок  </t>
  </si>
  <si>
    <t>2.Рис отварной № 315</t>
  </si>
  <si>
    <t>2. Гуляш из отварного мяса №277</t>
  </si>
  <si>
    <t>3. Компот из сухофруктов</t>
  </si>
  <si>
    <t>Мясо тушеное с овощами в соусе № 274</t>
  </si>
  <si>
    <t xml:space="preserve">2.Сосиски, сардельки или язык гов. отварные №275 </t>
  </si>
  <si>
    <t xml:space="preserve">2.Соус томатный № 348 </t>
  </si>
  <si>
    <t>Соус молочный № 350</t>
  </si>
  <si>
    <t>2. Салат из свежих или консервированных овощей №15</t>
  </si>
  <si>
    <t>3. Крендель с сахарный № 460 (хворост)</t>
  </si>
  <si>
    <t>3. Чай с молоком</t>
  </si>
  <si>
    <t>3. Чай с медом</t>
  </si>
  <si>
    <t>2. Фрикадельки рыбные №263</t>
  </si>
  <si>
    <t>2. Пюре детское, Йогурт, Молочный коктейль</t>
  </si>
  <si>
    <t>2. Соус сметанный № 354</t>
  </si>
  <si>
    <t>2. Винегрет овощной № 45</t>
  </si>
  <si>
    <t>3.Песочник с изюмом № 492</t>
  </si>
  <si>
    <t>3. Чай с сахаром с шок. конфетой</t>
  </si>
  <si>
    <t>3. Какао с молоком с печеньем, галетой или вафлей</t>
  </si>
  <si>
    <t>3. Чай с молоком с печеньем,вафлей или галетой</t>
  </si>
  <si>
    <t>3. Чай с молоком с  печеньем, галетой или вафлей</t>
  </si>
  <si>
    <t>3. Чай с мёдом с шоколадкой или пирожным</t>
  </si>
  <si>
    <t>3. Ватрушка или булочка</t>
  </si>
  <si>
    <t>1.  Омлет с зеленым горошком №219</t>
  </si>
  <si>
    <t>2. Птица, тушеная с овощами № 302</t>
  </si>
  <si>
    <t>1. Гуляш № 277 с кашей перловой рассыпчатой № 165</t>
  </si>
  <si>
    <t>1. Суп картофельный с крупой № 80</t>
  </si>
  <si>
    <t>3. Кондитерские изделия (печенье, вафля или галета)</t>
  </si>
  <si>
    <t>1.  Запеканка манная или рисовая № 188 с вареньем или джемом</t>
  </si>
  <si>
    <t xml:space="preserve"> 3.Блинчики № 447 со сгущ. молоком, джемом, вареньем, повидлом, медом.</t>
  </si>
  <si>
    <t>3. Пирожки печенные из дрожжевого теста № 454</t>
  </si>
  <si>
    <t xml:space="preserve">2. Йогурт, Творожок или молочный коктейль </t>
  </si>
  <si>
    <t>2.Макароны отварные № 317</t>
  </si>
  <si>
    <t>2.Каша рассыпчатая пшенная №313</t>
  </si>
  <si>
    <t>Каша рассыпчатая ячневая № 313</t>
  </si>
  <si>
    <t>2. Бутерброд с №3 маслом и сыром</t>
  </si>
  <si>
    <r>
      <t xml:space="preserve">3. Чай с мёдом  </t>
    </r>
    <r>
      <rPr>
        <sz val="11"/>
        <color theme="1"/>
        <rFont val="Calibri"/>
        <family val="2"/>
        <charset val="204"/>
        <scheme val="minor"/>
      </rPr>
      <t>№392</t>
    </r>
  </si>
  <si>
    <t>3. шоколадка или пирожное</t>
  </si>
  <si>
    <t>3. печенье, галета или вафля</t>
  </si>
  <si>
    <t>1. Молоко № 400</t>
  </si>
  <si>
    <t>2.Сосиски, сардельки, язык гов. отварн. №275</t>
  </si>
  <si>
    <t>3. Ватрушка или булочка № 458</t>
  </si>
  <si>
    <t>1. Суп с рыбой/рубными консервами №87</t>
  </si>
  <si>
    <t>1. Суп с рыбой/ рыбными консервами №87</t>
  </si>
  <si>
    <t>1. Суп с рыбой/рыбными консервами №87</t>
  </si>
  <si>
    <t>3. Соус молочный или сгущенное молоко или джем №351</t>
  </si>
  <si>
    <t>3.Оладьи №449 или сырники из творога №239 с  повидлом, сгущ. молоком.</t>
  </si>
  <si>
    <t>1. Гуляш № 277</t>
  </si>
  <si>
    <t>1. каша перловая № 165</t>
  </si>
  <si>
    <t>1.Гуляш № 277</t>
  </si>
  <si>
    <t>1. Каша перловая  рассыпчатая № 165</t>
  </si>
  <si>
    <t xml:space="preserve">3. Чай с сахаром №392 </t>
  </si>
  <si>
    <t>3. Желейная конфета</t>
  </si>
  <si>
    <t>Желейная конфета</t>
  </si>
  <si>
    <t>2.Соус томатный № 348</t>
  </si>
  <si>
    <t>2. Салат из моркови № 41</t>
  </si>
  <si>
    <t>2. Салат из свежих или соленых овощей №15 или салат из зеленого горошка № 10</t>
  </si>
  <si>
    <t>2. Салат из соленых или свежих огурцов №19, №13 или салат из зеленого горошка № 10</t>
  </si>
  <si>
    <t>2. Салат из свежих или соленых овощей №15 или из кукурузы № 12</t>
  </si>
  <si>
    <t>1. Запеканка манная или рисовая № 188 с вареньем или джемом</t>
  </si>
  <si>
    <t>1. Запеканка манная или рисовая  № 188 с вареньем или джемом</t>
  </si>
  <si>
    <t>3. Компот из чернослива с курагой витамином «С» №376</t>
  </si>
  <si>
    <t>3. Шоколадная конфетка</t>
  </si>
  <si>
    <t>2.Птица, тушенная  с овощами №302 (гуляш)</t>
  </si>
  <si>
    <t>2. Салат из свеклы №33</t>
  </si>
  <si>
    <t>2. Салат из свеклы № 33</t>
  </si>
  <si>
    <t>3. Кисель с витамином «С» № 378</t>
  </si>
  <si>
    <t>3. Компот из плодов № 377</t>
  </si>
  <si>
    <t xml:space="preserve">3.Компот из  сухофруктов с витамином «С» № </t>
  </si>
  <si>
    <t>3. Компот из чернослива с курагой № 376</t>
  </si>
  <si>
    <t>3.Компот из замороженных ягод с витамином «С»№ 376</t>
  </si>
  <si>
    <t>3. Компот из изюма с витамином «С» № 376</t>
  </si>
  <si>
    <t>3. Шоколадка или пирожное</t>
  </si>
  <si>
    <t>1. Макароны с мясом или печенью № 292</t>
  </si>
  <si>
    <t>1. Каша молочная с макаронными изделиями</t>
  </si>
  <si>
    <t>1. Каша пшеничная молочная жидкая № 94</t>
  </si>
  <si>
    <t>1. Каша геркулесовая молочная жидкая № 94</t>
  </si>
  <si>
    <t>1. Каша пшенная молочная жидкая № 94</t>
  </si>
  <si>
    <t>1. Каша гречневая молочная жидкая № 94</t>
  </si>
  <si>
    <t>1. Каша манная молочная жидкая № 94</t>
  </si>
  <si>
    <t>1.Каша молочная с макаронными изделиями № 93</t>
  </si>
  <si>
    <t>1. Каша ячневая молочная вязкая № 94</t>
  </si>
  <si>
    <t>1. Каша рисовая молочная жидкая № 94</t>
  </si>
  <si>
    <t>1. Каша молочная кукурузная № 94</t>
  </si>
  <si>
    <t>3. Крендель сахарный № 460</t>
  </si>
  <si>
    <t>1 Запеканка из творога  №237 с джемом, сгущ. Молоком</t>
  </si>
  <si>
    <t xml:space="preserve">2. Йогурт, молочный коктейль или творожок  </t>
  </si>
  <si>
    <t>3.Компот из  сухофруктов с витамином «С» № 376</t>
  </si>
  <si>
    <t xml:space="preserve">1.Каша молочная кукурузная </t>
  </si>
  <si>
    <t>1. Суп с рыбой/ рыбными консервами</t>
  </si>
  <si>
    <t>1. Омлет с зеленым горошком № 219</t>
  </si>
  <si>
    <t>4. Печенье, галета, вафля</t>
  </si>
  <si>
    <t>3. Кофейный напиток с молоком № 395</t>
  </si>
  <si>
    <t>3. Кофейный напиток с молоком с  печеньем, галетой или вафлей</t>
  </si>
  <si>
    <r>
      <t>Заведующая МКДОУ д/с "Снежинка"  ______________Коваш Д.П.                                                   "_</t>
    </r>
    <r>
      <rPr>
        <u/>
        <sz val="11"/>
        <color theme="1"/>
        <rFont val="Calibri"/>
        <family val="2"/>
        <charset val="204"/>
        <scheme val="minor"/>
      </rPr>
      <t>_1_</t>
    </r>
    <r>
      <rPr>
        <sz val="11"/>
        <color theme="1"/>
        <rFont val="Calibri"/>
        <family val="2"/>
        <scheme val="minor"/>
      </rPr>
      <t xml:space="preserve">_" </t>
    </r>
    <r>
      <rPr>
        <u/>
        <sz val="11"/>
        <color theme="1"/>
        <rFont val="Calibri"/>
        <family val="2"/>
        <charset val="204"/>
        <scheme val="minor"/>
      </rPr>
      <t xml:space="preserve"> _октября__</t>
    </r>
    <r>
      <rPr>
        <sz val="11"/>
        <color theme="1"/>
        <rFont val="Calibri"/>
        <family val="2"/>
        <scheme val="minor"/>
      </rPr>
      <t xml:space="preserve"> 2018 г.</t>
    </r>
  </si>
  <si>
    <r>
      <t>Заведующая МКДОУ д/с "Снежинка"  ______________ Коваш Д.П.                                                   "_</t>
    </r>
    <r>
      <rPr>
        <u/>
        <sz val="11"/>
        <color theme="1"/>
        <rFont val="Calibri"/>
        <family val="2"/>
        <charset val="204"/>
        <scheme val="minor"/>
      </rPr>
      <t>_01</t>
    </r>
    <r>
      <rPr>
        <sz val="11"/>
        <color theme="1"/>
        <rFont val="Calibri"/>
        <family val="2"/>
        <scheme val="minor"/>
      </rPr>
      <t xml:space="preserve">_" </t>
    </r>
    <r>
      <rPr>
        <u/>
        <sz val="11"/>
        <color theme="1"/>
        <rFont val="Calibri"/>
        <family val="2"/>
        <charset val="204"/>
        <scheme val="minor"/>
      </rPr>
      <t xml:space="preserve"> __октября__</t>
    </r>
    <r>
      <rPr>
        <sz val="11"/>
        <color theme="1"/>
        <rFont val="Calibri"/>
        <family val="2"/>
        <scheme val="minor"/>
      </rPr>
      <t xml:space="preserve"> 2018 г.</t>
    </r>
  </si>
  <si>
    <r>
      <t>Заведующая МКДОУ "Снежинка"  __________________ Коваш Д.П.                                                  "_</t>
    </r>
    <r>
      <rPr>
        <u/>
        <sz val="11"/>
        <color theme="1"/>
        <rFont val="Calibri"/>
        <family val="2"/>
        <charset val="204"/>
        <scheme val="minor"/>
      </rPr>
      <t>_1</t>
    </r>
    <r>
      <rPr>
        <sz val="11"/>
        <color theme="1"/>
        <rFont val="Calibri"/>
        <family val="2"/>
        <scheme val="minor"/>
      </rPr>
      <t xml:space="preserve">_" </t>
    </r>
    <r>
      <rPr>
        <u/>
        <sz val="11"/>
        <color theme="1"/>
        <rFont val="Calibri"/>
        <family val="2"/>
        <charset val="204"/>
        <scheme val="minor"/>
      </rPr>
      <t xml:space="preserve"> __октября__</t>
    </r>
    <r>
      <rPr>
        <sz val="11"/>
        <color theme="1"/>
        <rFont val="Calibri"/>
        <family val="2"/>
        <scheme val="minor"/>
      </rPr>
      <t xml:space="preserve"> 2018 г.</t>
    </r>
  </si>
  <si>
    <t>Примерное 14-тидневное меню</t>
  </si>
  <si>
    <r>
      <t xml:space="preserve">Заведующая МКДОУ д/с "Снежинка"  __________________/Ж.П.Мартсай/                                              "10" </t>
    </r>
    <r>
      <rPr>
        <u/>
        <sz val="11"/>
        <color theme="1"/>
        <rFont val="Calibri"/>
        <family val="2"/>
        <charset val="204"/>
        <scheme val="minor"/>
      </rPr>
      <t xml:space="preserve"> января </t>
    </r>
    <r>
      <rPr>
        <sz val="11"/>
        <color theme="1"/>
        <rFont val="Calibri"/>
        <family val="2"/>
        <scheme val="minor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</si>
</sst>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2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5" xfId="0" applyBorder="1"/>
    <xf numFmtId="0" fontId="0" fillId="0" borderId="8" xfId="0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1" xfId="0" applyBorder="1" applyAlignment="1">
      <alignment horizontal="center"/>
    </xf>
    <xf numFmtId="1" fontId="0" fillId="0" borderId="21" xfId="0" applyNumberFormat="1" applyFill="1" applyBorder="1"/>
    <xf numFmtId="2" fontId="0" fillId="0" borderId="21" xfId="0" applyNumberFormat="1" applyFill="1" applyBorder="1"/>
    <xf numFmtId="164" fontId="0" fillId="0" borderId="21" xfId="0" applyNumberFormat="1" applyFill="1" applyBorder="1"/>
    <xf numFmtId="0" fontId="0" fillId="0" borderId="21" xfId="0" applyFill="1" applyBorder="1"/>
    <xf numFmtId="0" fontId="0" fillId="0" borderId="21" xfId="0" applyFill="1" applyBorder="1" applyAlignment="1">
      <alignment horizontal="right"/>
    </xf>
    <xf numFmtId="1" fontId="0" fillId="0" borderId="21" xfId="0" applyNumberFormat="1" applyFill="1" applyBorder="1" applyAlignment="1">
      <alignment horizontal="right"/>
    </xf>
    <xf numFmtId="1" fontId="4" fillId="2" borderId="21" xfId="0" applyNumberFormat="1" applyFont="1" applyFill="1" applyBorder="1"/>
    <xf numFmtId="2" fontId="4" fillId="2" borderId="21" xfId="0" applyNumberFormat="1" applyFont="1" applyFill="1" applyBorder="1"/>
    <xf numFmtId="164" fontId="4" fillId="2" borderId="21" xfId="0" applyNumberFormat="1" applyFont="1" applyFill="1" applyBorder="1"/>
    <xf numFmtId="1" fontId="0" fillId="0" borderId="21" xfId="0" applyNumberFormat="1" applyBorder="1"/>
    <xf numFmtId="2" fontId="0" fillId="0" borderId="21" xfId="0" applyNumberFormat="1" applyBorder="1"/>
    <xf numFmtId="164" fontId="0" fillId="0" borderId="21" xfId="0" applyNumberFormat="1" applyBorder="1"/>
    <xf numFmtId="1" fontId="0" fillId="0" borderId="21" xfId="0" applyNumberFormat="1" applyFill="1" applyBorder="1" applyAlignment="1">
      <alignment wrapText="1"/>
    </xf>
    <xf numFmtId="2" fontId="0" fillId="0" borderId="21" xfId="0" applyNumberFormat="1" applyFill="1" applyBorder="1" applyAlignment="1">
      <alignment wrapText="1"/>
    </xf>
    <xf numFmtId="164" fontId="0" fillId="0" borderId="21" xfId="0" applyNumberFormat="1" applyFill="1" applyBorder="1" applyAlignment="1">
      <alignment wrapText="1"/>
    </xf>
    <xf numFmtId="0" fontId="0" fillId="0" borderId="21" xfId="0" applyBorder="1" applyAlignment="1">
      <alignment horizontal="right"/>
    </xf>
    <xf numFmtId="0" fontId="4" fillId="2" borderId="7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1" fontId="8" fillId="4" borderId="21" xfId="0" applyNumberFormat="1" applyFont="1" applyFill="1" applyBorder="1"/>
    <xf numFmtId="2" fontId="8" fillId="4" borderId="21" xfId="0" applyNumberFormat="1" applyFont="1" applyFill="1" applyBorder="1"/>
    <xf numFmtId="164" fontId="8" fillId="4" borderId="21" xfId="0" applyNumberFormat="1" applyFont="1" applyFill="1" applyBorder="1"/>
    <xf numFmtId="165" fontId="0" fillId="0" borderId="21" xfId="0" applyNumberFormat="1" applyBorder="1"/>
    <xf numFmtId="0" fontId="0" fillId="0" borderId="5" xfId="0" applyBorder="1" applyAlignment="1">
      <alignment horizontal="right" vertical="top" wrapText="1"/>
    </xf>
    <xf numFmtId="0" fontId="0" fillId="0" borderId="0" xfId="0" applyBorder="1"/>
    <xf numFmtId="2" fontId="4" fillId="0" borderId="21" xfId="0" applyNumberFormat="1" applyFont="1" applyFill="1" applyBorder="1"/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28" xfId="0" applyFont="1" applyBorder="1" applyAlignment="1">
      <alignment horizontal="left" vertical="center" wrapText="1"/>
    </xf>
    <xf numFmtId="2" fontId="4" fillId="0" borderId="30" xfId="0" applyNumberFormat="1" applyFont="1" applyFill="1" applyBorder="1"/>
    <xf numFmtId="0" fontId="11" fillId="0" borderId="6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2" fontId="4" fillId="0" borderId="22" xfId="0" applyNumberFormat="1" applyFont="1" applyFill="1" applyBorder="1"/>
    <xf numFmtId="0" fontId="5" fillId="0" borderId="21" xfId="0" applyFont="1" applyBorder="1" applyAlignment="1">
      <alignment vertical="center" wrapText="1"/>
    </xf>
    <xf numFmtId="0" fontId="11" fillId="0" borderId="2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14" fillId="0" borderId="2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6" fillId="0" borderId="21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8" fillId="0" borderId="0" xfId="0" applyFont="1" applyBorder="1"/>
    <xf numFmtId="0" fontId="17" fillId="0" borderId="0" xfId="0" applyFont="1"/>
    <xf numFmtId="0" fontId="0" fillId="0" borderId="7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1" fillId="3" borderId="25" xfId="0" applyFont="1" applyFill="1" applyBorder="1" applyAlignment="1">
      <alignment vertical="top" wrapText="1"/>
    </xf>
    <xf numFmtId="1" fontId="0" fillId="5" borderId="21" xfId="0" applyNumberFormat="1" applyFill="1" applyBorder="1"/>
    <xf numFmtId="2" fontId="0" fillId="5" borderId="21" xfId="0" applyNumberFormat="1" applyFill="1" applyBorder="1"/>
    <xf numFmtId="164" fontId="0" fillId="5" borderId="21" xfId="0" applyNumberFormat="1" applyFill="1" applyBorder="1"/>
    <xf numFmtId="1" fontId="0" fillId="5" borderId="21" xfId="0" applyNumberFormat="1" applyFill="1" applyBorder="1" applyAlignment="1">
      <alignment horizontal="right"/>
    </xf>
    <xf numFmtId="1" fontId="0" fillId="6" borderId="21" xfId="0" applyNumberFormat="1" applyFill="1" applyBorder="1"/>
    <xf numFmtId="2" fontId="0" fillId="6" borderId="21" xfId="0" applyNumberFormat="1" applyFill="1" applyBorder="1"/>
    <xf numFmtId="164" fontId="0" fillId="6" borderId="21" xfId="0" applyNumberFormat="1" applyFill="1" applyBorder="1"/>
    <xf numFmtId="0" fontId="0" fillId="6" borderId="21" xfId="0" applyFill="1" applyBorder="1"/>
    <xf numFmtId="1" fontId="0" fillId="6" borderId="21" xfId="0" applyNumberFormat="1" applyFill="1" applyBorder="1" applyAlignment="1">
      <alignment horizontal="right"/>
    </xf>
    <xf numFmtId="0" fontId="0" fillId="6" borderId="21" xfId="0" applyFill="1" applyBorder="1" applyAlignment="1">
      <alignment horizontal="right"/>
    </xf>
    <xf numFmtId="1" fontId="0" fillId="6" borderId="21" xfId="0" applyNumberFormat="1" applyFill="1" applyBorder="1" applyAlignment="1">
      <alignment wrapText="1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9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22" xfId="0" applyFill="1" applyBorder="1" applyAlignment="1"/>
    <xf numFmtId="0" fontId="8" fillId="0" borderId="7" xfId="0" applyFont="1" applyFill="1" applyBorder="1" applyAlignment="1">
      <alignment horizontal="left"/>
    </xf>
    <xf numFmtId="0" fontId="15" fillId="0" borderId="14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13" fillId="0" borderId="3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979715</xdr:colOff>
      <xdr:row>0</xdr:row>
      <xdr:rowOff>27214</xdr:rowOff>
    </xdr:from>
    <xdr:to>
      <xdr:col>9</xdr:col>
      <xdr:colOff>816429</xdr:colOff>
      <xdr:row>2</xdr:row>
      <xdr:rowOff>231321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04965" y="27214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1483179</xdr:colOff>
      <xdr:row>1</xdr:row>
      <xdr:rowOff>54428</xdr:rowOff>
    </xdr:from>
    <xdr:to>
      <xdr:col>10</xdr:col>
      <xdr:colOff>519794</xdr:colOff>
      <xdr:row>1</xdr:row>
      <xdr:rowOff>462733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0465" y="272142"/>
          <a:ext cx="628650" cy="408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Layout" zoomScale="70" zoomScaleNormal="100" zoomScaleSheetLayoutView="130" zoomScalePageLayoutView="70" workbookViewId="0">
      <selection activeCell="K4" sqref="K4"/>
    </sheetView>
  </sheetViews>
  <sheetFormatPr defaultRowHeight="15" x14ac:dyDescent="0.25"/>
  <cols>
    <col min="1" max="1" width="22.42578125" style="32" customWidth="1"/>
    <col min="2" max="5" width="22.42578125" customWidth="1"/>
    <col min="6" max="6" width="4.42578125" customWidth="1"/>
    <col min="7" max="11" width="22.140625" customWidth="1"/>
    <col min="12" max="23" width="9.140625" style="32"/>
  </cols>
  <sheetData>
    <row r="1" spans="1:23" ht="17.25" customHeight="1" x14ac:dyDescent="0.25">
      <c r="A1" s="117"/>
      <c r="B1" s="117"/>
      <c r="C1" s="117"/>
      <c r="D1" s="5"/>
      <c r="E1" s="5"/>
      <c r="F1" s="5"/>
      <c r="G1" s="5"/>
      <c r="H1" s="5"/>
      <c r="I1" s="5"/>
      <c r="J1" s="5"/>
      <c r="K1" s="35" t="s">
        <v>93</v>
      </c>
      <c r="L1" s="5"/>
    </row>
    <row r="2" spans="1:23" ht="49.5" customHeight="1" x14ac:dyDescent="0.25">
      <c r="A2" s="6"/>
      <c r="B2" s="56"/>
      <c r="C2" s="56"/>
      <c r="D2" s="6"/>
      <c r="E2" s="6"/>
      <c r="F2" s="6"/>
      <c r="G2" s="56"/>
      <c r="H2" s="56"/>
      <c r="I2" s="56"/>
      <c r="J2" s="118" t="s">
        <v>316</v>
      </c>
      <c r="K2" s="118"/>
      <c r="L2" s="6"/>
    </row>
    <row r="3" spans="1:23" ht="19.5" customHeight="1" thickBot="1" x14ac:dyDescent="0.4">
      <c r="B3" s="32"/>
      <c r="C3" s="32"/>
      <c r="D3" s="32"/>
      <c r="E3" s="116" t="s">
        <v>315</v>
      </c>
      <c r="F3" s="116"/>
      <c r="G3" s="116"/>
    </row>
    <row r="4" spans="1:23" ht="15.75" thickBot="1" x14ac:dyDescent="0.3">
      <c r="A4" s="5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/>
      <c r="G4" s="1" t="s">
        <v>5</v>
      </c>
      <c r="H4" s="1" t="s">
        <v>6</v>
      </c>
      <c r="I4" s="2" t="s">
        <v>83</v>
      </c>
      <c r="J4" s="2" t="s">
        <v>7</v>
      </c>
      <c r="K4" s="36" t="s">
        <v>8</v>
      </c>
    </row>
    <row r="5" spans="1:23" ht="15.75" thickBot="1" x14ac:dyDescent="0.3">
      <c r="A5" s="119" t="s">
        <v>92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23" s="3" customFormat="1" ht="48" customHeight="1" x14ac:dyDescent="0.25">
      <c r="A6" s="43" t="s">
        <v>13</v>
      </c>
      <c r="B6" s="38" t="s">
        <v>293</v>
      </c>
      <c r="C6" s="38" t="s">
        <v>294</v>
      </c>
      <c r="D6" s="41" t="s">
        <v>295</v>
      </c>
      <c r="E6" s="43" t="s">
        <v>296</v>
      </c>
      <c r="F6" s="40"/>
      <c r="G6" s="41" t="s">
        <v>297</v>
      </c>
      <c r="H6" s="40" t="s">
        <v>298</v>
      </c>
      <c r="I6" s="38" t="s">
        <v>299</v>
      </c>
      <c r="J6" s="38" t="s">
        <v>300</v>
      </c>
      <c r="K6" s="39" t="s">
        <v>301</v>
      </c>
      <c r="L6" s="32"/>
      <c r="M6" s="34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s="4" customFormat="1" ht="47.25" customHeight="1" x14ac:dyDescent="0.25">
      <c r="A7" s="43" t="s">
        <v>87</v>
      </c>
      <c r="B7" s="51" t="s">
        <v>88</v>
      </c>
      <c r="C7" s="42" t="s">
        <v>86</v>
      </c>
      <c r="D7" s="42" t="s">
        <v>87</v>
      </c>
      <c r="E7" s="42" t="s">
        <v>86</v>
      </c>
      <c r="F7" s="42"/>
      <c r="G7" s="43" t="s">
        <v>253</v>
      </c>
      <c r="H7" s="42" t="s">
        <v>88</v>
      </c>
      <c r="I7" s="43" t="s">
        <v>86</v>
      </c>
      <c r="J7" s="43" t="s">
        <v>253</v>
      </c>
      <c r="K7" s="43" t="s">
        <v>86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" customHeight="1" thickBot="1" x14ac:dyDescent="0.3">
      <c r="A8" s="43" t="s">
        <v>22</v>
      </c>
      <c r="B8" s="44" t="s">
        <v>9</v>
      </c>
      <c r="C8" s="44" t="s">
        <v>228</v>
      </c>
      <c r="D8" s="44" t="s">
        <v>229</v>
      </c>
      <c r="E8" s="44" t="s">
        <v>10</v>
      </c>
      <c r="F8" s="44"/>
      <c r="G8" s="44" t="s">
        <v>22</v>
      </c>
      <c r="H8" s="44" t="s">
        <v>9</v>
      </c>
      <c r="I8" s="44" t="s">
        <v>21</v>
      </c>
      <c r="J8" s="44" t="s">
        <v>20</v>
      </c>
      <c r="K8" s="45" t="s">
        <v>10</v>
      </c>
    </row>
    <row r="9" spans="1:23" ht="18" thickBot="1" x14ac:dyDescent="0.3">
      <c r="A9" s="122" t="s">
        <v>91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23" s="3" customFormat="1" ht="15" customHeight="1" x14ac:dyDescent="0.25">
      <c r="A10" s="43" t="s">
        <v>76</v>
      </c>
      <c r="B10" s="38" t="s">
        <v>75</v>
      </c>
      <c r="C10" s="38" t="s">
        <v>76</v>
      </c>
      <c r="D10" s="38" t="s">
        <v>75</v>
      </c>
      <c r="E10" s="38" t="s">
        <v>76</v>
      </c>
      <c r="F10" s="38"/>
      <c r="G10" s="38" t="s">
        <v>76</v>
      </c>
      <c r="H10" s="38" t="s">
        <v>75</v>
      </c>
      <c r="I10" s="38" t="s">
        <v>76</v>
      </c>
      <c r="J10" s="38" t="s">
        <v>75</v>
      </c>
      <c r="K10" s="39" t="s">
        <v>76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4" customFormat="1" ht="62.25" customHeight="1" x14ac:dyDescent="0.25">
      <c r="A11" s="43" t="s">
        <v>124</v>
      </c>
      <c r="B11" s="47" t="s">
        <v>216</v>
      </c>
      <c r="C11" s="46" t="s">
        <v>124</v>
      </c>
      <c r="D11" s="47" t="s">
        <v>231</v>
      </c>
      <c r="E11" s="46" t="s">
        <v>124</v>
      </c>
      <c r="F11" s="46"/>
      <c r="G11" s="46" t="s">
        <v>23</v>
      </c>
      <c r="H11" s="47" t="s">
        <v>249</v>
      </c>
      <c r="I11" s="46" t="s">
        <v>124</v>
      </c>
      <c r="J11" s="47" t="s">
        <v>184</v>
      </c>
      <c r="K11" s="48" t="s">
        <v>124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13.5" customHeight="1" thickBot="1" x14ac:dyDescent="0.3">
      <c r="A12" s="110" t="s">
        <v>90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2"/>
    </row>
    <row r="13" spans="1:23" s="3" customFormat="1" ht="74.25" customHeight="1" x14ac:dyDescent="0.25">
      <c r="A13" s="43" t="s">
        <v>44</v>
      </c>
      <c r="B13" s="38" t="s">
        <v>40</v>
      </c>
      <c r="C13" s="40" t="s">
        <v>262</v>
      </c>
      <c r="D13" s="41" t="s">
        <v>42</v>
      </c>
      <c r="E13" s="38" t="s">
        <v>244</v>
      </c>
      <c r="F13" s="40"/>
      <c r="G13" s="41" t="s">
        <v>46</v>
      </c>
      <c r="H13" s="38" t="s">
        <v>41</v>
      </c>
      <c r="I13" s="40" t="s">
        <v>47</v>
      </c>
      <c r="J13" s="41" t="s">
        <v>48</v>
      </c>
      <c r="K13" s="39" t="s">
        <v>262</v>
      </c>
      <c r="L13" s="34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4" customFormat="1" ht="16.5" x14ac:dyDescent="0.25">
      <c r="A14" s="54" t="s">
        <v>63</v>
      </c>
      <c r="B14" s="49" t="s">
        <v>63</v>
      </c>
      <c r="C14" s="49" t="s">
        <v>63</v>
      </c>
      <c r="D14" s="49" t="s">
        <v>63</v>
      </c>
      <c r="E14" s="49" t="s">
        <v>63</v>
      </c>
      <c r="F14" s="49"/>
      <c r="G14" s="49" t="s">
        <v>63</v>
      </c>
      <c r="H14" s="49" t="s">
        <v>63</v>
      </c>
      <c r="I14" s="49" t="s">
        <v>63</v>
      </c>
      <c r="J14" s="49" t="s">
        <v>63</v>
      </c>
      <c r="K14" s="50" t="s">
        <v>63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s="4" customFormat="1" ht="51" customHeight="1" x14ac:dyDescent="0.25">
      <c r="A15" s="43" t="s">
        <v>37</v>
      </c>
      <c r="B15" s="47" t="s">
        <v>250</v>
      </c>
      <c r="C15" s="47" t="s">
        <v>32</v>
      </c>
      <c r="D15" s="47" t="s">
        <v>53</v>
      </c>
      <c r="E15" s="47" t="s">
        <v>28</v>
      </c>
      <c r="F15" s="47"/>
      <c r="G15" s="47" t="s">
        <v>55</v>
      </c>
      <c r="H15" s="47" t="s">
        <v>250</v>
      </c>
      <c r="I15" s="47" t="s">
        <v>219</v>
      </c>
      <c r="J15" s="47" t="s">
        <v>251</v>
      </c>
      <c r="K15" s="47" t="s">
        <v>252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s="4" customFormat="1" ht="49.5" x14ac:dyDescent="0.25">
      <c r="A16" s="43" t="s">
        <v>220</v>
      </c>
      <c r="B16" s="47" t="s">
        <v>223</v>
      </c>
      <c r="C16" s="47" t="s">
        <v>230</v>
      </c>
      <c r="D16" s="47" t="s">
        <v>36</v>
      </c>
      <c r="E16" s="48" t="s">
        <v>213</v>
      </c>
      <c r="F16" s="47"/>
      <c r="G16" s="47" t="s">
        <v>242</v>
      </c>
      <c r="H16" s="47" t="s">
        <v>191</v>
      </c>
      <c r="I16" s="48" t="s">
        <v>207</v>
      </c>
      <c r="J16" s="47" t="s">
        <v>210</v>
      </c>
      <c r="K16" s="48" t="s">
        <v>213</v>
      </c>
      <c r="L16" s="34"/>
      <c r="M16" s="34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4" customFormat="1" ht="49.5" x14ac:dyDescent="0.25">
      <c r="A17" s="43"/>
      <c r="B17" s="47" t="s">
        <v>224</v>
      </c>
      <c r="C17" s="47" t="s">
        <v>225</v>
      </c>
      <c r="D17" s="47" t="s">
        <v>232</v>
      </c>
      <c r="E17" s="47" t="s">
        <v>24</v>
      </c>
      <c r="F17" s="47"/>
      <c r="G17" s="47" t="s">
        <v>232</v>
      </c>
      <c r="H17" s="47" t="s">
        <v>24</v>
      </c>
      <c r="I17" s="47" t="s">
        <v>24</v>
      </c>
      <c r="J17" s="47" t="s">
        <v>211</v>
      </c>
      <c r="K17" s="48" t="s">
        <v>24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s="4" customFormat="1" ht="82.5" x14ac:dyDescent="0.25">
      <c r="A18" s="43" t="s">
        <v>127</v>
      </c>
      <c r="B18" s="47" t="s">
        <v>226</v>
      </c>
      <c r="C18" s="47" t="s">
        <v>275</v>
      </c>
      <c r="D18" s="47" t="s">
        <v>233</v>
      </c>
      <c r="E18" s="47" t="s">
        <v>273</v>
      </c>
      <c r="F18" s="47"/>
      <c r="G18" s="47" t="s">
        <v>283</v>
      </c>
      <c r="H18" s="47" t="s">
        <v>151</v>
      </c>
      <c r="I18" s="47" t="s">
        <v>57</v>
      </c>
      <c r="J18" s="47" t="s">
        <v>276</v>
      </c>
      <c r="K18" s="48" t="s">
        <v>159</v>
      </c>
      <c r="L18" s="34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s="4" customFormat="1" ht="49.5" customHeight="1" x14ac:dyDescent="0.25">
      <c r="A19" s="54" t="s">
        <v>221</v>
      </c>
      <c r="B19" s="49" t="s">
        <v>288</v>
      </c>
      <c r="C19" s="49" t="s">
        <v>286</v>
      </c>
      <c r="D19" s="49" t="s">
        <v>285</v>
      </c>
      <c r="E19" s="49" t="s">
        <v>287</v>
      </c>
      <c r="F19" s="49"/>
      <c r="G19" s="49" t="s">
        <v>284</v>
      </c>
      <c r="H19" s="49" t="s">
        <v>285</v>
      </c>
      <c r="I19" s="49" t="s">
        <v>289</v>
      </c>
      <c r="J19" s="49" t="s">
        <v>65</v>
      </c>
      <c r="K19" s="50" t="s">
        <v>64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s="4" customFormat="1" ht="81" customHeight="1" x14ac:dyDescent="0.25">
      <c r="A20" s="54" t="s">
        <v>135</v>
      </c>
      <c r="B20" s="47" t="s">
        <v>240</v>
      </c>
      <c r="C20" s="49" t="s">
        <v>196</v>
      </c>
      <c r="D20" s="49" t="s">
        <v>234</v>
      </c>
      <c r="E20" s="49" t="s">
        <v>245</v>
      </c>
      <c r="F20" s="49"/>
      <c r="G20" s="49" t="s">
        <v>248</v>
      </c>
      <c r="H20" s="49" t="s">
        <v>247</v>
      </c>
      <c r="I20" s="47" t="s">
        <v>227</v>
      </c>
      <c r="J20" s="49" t="s">
        <v>70</v>
      </c>
      <c r="K20" s="48" t="s">
        <v>197</v>
      </c>
      <c r="L20" s="32"/>
      <c r="M20" s="34"/>
      <c r="N20" s="56"/>
      <c r="O20" s="56"/>
      <c r="P20" s="32"/>
      <c r="Q20" s="32"/>
      <c r="R20" s="32"/>
      <c r="S20" s="32"/>
      <c r="T20" s="32"/>
      <c r="U20" s="32"/>
      <c r="V20" s="32"/>
      <c r="W20" s="32"/>
    </row>
    <row r="21" spans="1:23" ht="17.25" customHeight="1" thickBot="1" x14ac:dyDescent="0.3">
      <c r="A21" s="110" t="s">
        <v>89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23" s="3" customFormat="1" ht="64.5" customHeight="1" x14ac:dyDescent="0.25">
      <c r="A22" s="43" t="s">
        <v>222</v>
      </c>
      <c r="B22" s="38" t="s">
        <v>51</v>
      </c>
      <c r="C22" s="98" t="s">
        <v>243</v>
      </c>
      <c r="D22" s="38" t="s">
        <v>217</v>
      </c>
      <c r="E22" s="38" t="s">
        <v>246</v>
      </c>
      <c r="F22" s="38"/>
      <c r="G22" s="43" t="s">
        <v>212</v>
      </c>
      <c r="H22" s="41" t="s">
        <v>78</v>
      </c>
      <c r="I22" s="41" t="s">
        <v>208</v>
      </c>
      <c r="J22" s="38" t="s">
        <v>217</v>
      </c>
      <c r="K22" s="39" t="s">
        <v>241</v>
      </c>
      <c r="L22" s="32"/>
      <c r="M22" s="34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s="4" customFormat="1" ht="16.5" x14ac:dyDescent="0.25">
      <c r="A23" s="54" t="s">
        <v>63</v>
      </c>
      <c r="B23" s="49" t="s">
        <v>63</v>
      </c>
      <c r="C23" s="49" t="s">
        <v>63</v>
      </c>
      <c r="D23" s="49" t="s">
        <v>63</v>
      </c>
      <c r="E23" s="49" t="s">
        <v>63</v>
      </c>
      <c r="F23" s="49"/>
      <c r="G23" s="49" t="s">
        <v>63</v>
      </c>
      <c r="H23" s="49" t="s">
        <v>63</v>
      </c>
      <c r="I23" s="49" t="s">
        <v>63</v>
      </c>
      <c r="J23" s="49" t="s">
        <v>63</v>
      </c>
      <c r="K23" s="50" t="s">
        <v>63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s="4" customFormat="1" ht="59.25" customHeight="1" x14ac:dyDescent="0.25">
      <c r="A24" s="43" t="s">
        <v>239</v>
      </c>
      <c r="B24" s="47" t="s">
        <v>238</v>
      </c>
      <c r="C24" s="47" t="s">
        <v>81</v>
      </c>
      <c r="D24" s="47" t="s">
        <v>236</v>
      </c>
      <c r="E24" s="47" t="s">
        <v>235</v>
      </c>
      <c r="F24" s="47"/>
      <c r="G24" s="43" t="s">
        <v>239</v>
      </c>
      <c r="H24" s="47" t="s">
        <v>237</v>
      </c>
      <c r="I24" s="47" t="s">
        <v>81</v>
      </c>
      <c r="J24" s="47" t="s">
        <v>311</v>
      </c>
      <c r="K24" s="47" t="s">
        <v>235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ht="15.75" thickBot="1" x14ac:dyDescent="0.3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5"/>
    </row>
    <row r="27" spans="1:23" ht="16.5" x14ac:dyDescent="0.25">
      <c r="B27" s="32"/>
      <c r="C27" s="34"/>
      <c r="D27" s="32"/>
      <c r="E27" s="34"/>
      <c r="F27" s="32"/>
      <c r="G27" s="32"/>
      <c r="H27" s="55"/>
      <c r="I27" s="32"/>
    </row>
    <row r="28" spans="1:23" x14ac:dyDescent="0.25">
      <c r="B28" s="32"/>
      <c r="C28" s="32"/>
      <c r="D28" s="32"/>
      <c r="E28" s="32"/>
      <c r="F28" s="32"/>
    </row>
    <row r="29" spans="1:23" x14ac:dyDescent="0.25">
      <c r="B29" s="32"/>
      <c r="C29" s="32"/>
      <c r="D29" s="32"/>
      <c r="E29" s="32"/>
      <c r="F29" s="32"/>
    </row>
    <row r="30" spans="1:23" x14ac:dyDescent="0.25">
      <c r="B30" s="32"/>
      <c r="C30" s="32"/>
      <c r="D30" s="32"/>
      <c r="E30" s="32"/>
      <c r="F30" s="32"/>
    </row>
  </sheetData>
  <mergeCells count="8">
    <mergeCell ref="A12:K12"/>
    <mergeCell ref="A25:K25"/>
    <mergeCell ref="A21:K21"/>
    <mergeCell ref="E3:G3"/>
    <mergeCell ref="A1:C1"/>
    <mergeCell ref="J2:K2"/>
    <mergeCell ref="A5:K5"/>
    <mergeCell ref="A9:K9"/>
  </mergeCells>
  <pageMargins left="0" right="0" top="0" bottom="0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opLeftCell="C184" zoomScale="115" zoomScaleNormal="115" workbookViewId="0">
      <selection activeCell="G26" sqref="G26"/>
    </sheetView>
  </sheetViews>
  <sheetFormatPr defaultRowHeight="15" x14ac:dyDescent="0.25"/>
  <cols>
    <col min="5" max="5" width="46.85546875" customWidth="1"/>
    <col min="10" max="10" width="10.28515625" customWidth="1"/>
    <col min="13" max="13" width="13.85546875" customWidth="1"/>
    <col min="14" max="14" width="30.85546875" customWidth="1"/>
  </cols>
  <sheetData>
    <row r="1" spans="1:12" ht="15" customHeight="1" x14ac:dyDescent="0.25">
      <c r="A1" s="117"/>
      <c r="B1" s="117"/>
      <c r="C1" s="117"/>
      <c r="D1" s="5"/>
      <c r="E1" s="5"/>
      <c r="F1" s="5"/>
      <c r="G1" s="5"/>
      <c r="H1" s="5"/>
      <c r="I1" s="5"/>
      <c r="J1" s="5"/>
      <c r="K1" s="177" t="s">
        <v>93</v>
      </c>
      <c r="L1" s="177"/>
    </row>
    <row r="2" spans="1:12" ht="46.5" customHeight="1" x14ac:dyDescent="0.25">
      <c r="A2" s="6"/>
      <c r="B2" s="6"/>
      <c r="C2" s="6"/>
      <c r="D2" s="6"/>
      <c r="E2" s="6"/>
      <c r="F2" s="6"/>
      <c r="G2" s="6"/>
      <c r="H2" s="6"/>
      <c r="I2" s="118" t="s">
        <v>214</v>
      </c>
      <c r="J2" s="118"/>
      <c r="K2" s="118"/>
      <c r="L2" s="118"/>
    </row>
    <row r="3" spans="1:12" x14ac:dyDescent="0.25">
      <c r="A3" s="7"/>
      <c r="B3" s="7"/>
      <c r="C3" s="7"/>
      <c r="D3" s="7"/>
      <c r="E3" s="7"/>
      <c r="F3" s="7"/>
      <c r="G3" s="7"/>
      <c r="H3" s="7"/>
      <c r="I3" s="31"/>
      <c r="J3" s="31"/>
      <c r="K3" s="31"/>
      <c r="L3" s="31"/>
    </row>
    <row r="4" spans="1:12" ht="15" customHeight="1" x14ac:dyDescent="0.25">
      <c r="A4" s="178" t="s">
        <v>94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5" customHeight="1" x14ac:dyDescent="0.25">
      <c r="A5" s="180" t="s">
        <v>95</v>
      </c>
      <c r="B5" s="181"/>
      <c r="C5" s="180" t="s">
        <v>96</v>
      </c>
      <c r="D5" s="186"/>
      <c r="E5" s="181"/>
      <c r="F5" s="170" t="s">
        <v>97</v>
      </c>
      <c r="G5" s="189" t="s">
        <v>98</v>
      </c>
      <c r="H5" s="190"/>
      <c r="I5" s="191"/>
      <c r="J5" s="195" t="s">
        <v>99</v>
      </c>
      <c r="K5" s="170" t="s">
        <v>100</v>
      </c>
      <c r="L5" s="170" t="s">
        <v>101</v>
      </c>
    </row>
    <row r="6" spans="1:12" x14ac:dyDescent="0.25">
      <c r="A6" s="182"/>
      <c r="B6" s="183"/>
      <c r="C6" s="182"/>
      <c r="D6" s="187"/>
      <c r="E6" s="183"/>
      <c r="F6" s="171"/>
      <c r="G6" s="192"/>
      <c r="H6" s="193"/>
      <c r="I6" s="194"/>
      <c r="J6" s="196"/>
      <c r="K6" s="171"/>
      <c r="L6" s="171"/>
    </row>
    <row r="7" spans="1:12" x14ac:dyDescent="0.25">
      <c r="A7" s="184"/>
      <c r="B7" s="185"/>
      <c r="C7" s="184"/>
      <c r="D7" s="188"/>
      <c r="E7" s="185"/>
      <c r="F7" s="172"/>
      <c r="G7" s="8" t="s">
        <v>102</v>
      </c>
      <c r="H7" s="8" t="s">
        <v>103</v>
      </c>
      <c r="I7" s="8" t="s">
        <v>104</v>
      </c>
      <c r="J7" s="197"/>
      <c r="K7" s="172"/>
      <c r="L7" s="172"/>
    </row>
    <row r="8" spans="1:12" x14ac:dyDescent="0.25">
      <c r="A8" s="173"/>
      <c r="B8" s="174"/>
      <c r="C8" s="162" t="s">
        <v>105</v>
      </c>
      <c r="D8" s="175"/>
      <c r="E8" s="175"/>
      <c r="F8" s="175"/>
      <c r="G8" s="175"/>
      <c r="H8" s="175"/>
      <c r="I8" s="175"/>
      <c r="J8" s="175"/>
      <c r="K8" s="175"/>
      <c r="L8" s="176"/>
    </row>
    <row r="9" spans="1:12" ht="15" customHeight="1" x14ac:dyDescent="0.25">
      <c r="A9" s="157" t="s">
        <v>106</v>
      </c>
      <c r="B9" s="158"/>
      <c r="C9" s="162" t="s">
        <v>139</v>
      </c>
      <c r="D9" s="175"/>
      <c r="E9" s="175"/>
      <c r="F9" s="175"/>
      <c r="G9" s="175"/>
      <c r="H9" s="175"/>
      <c r="I9" s="175"/>
      <c r="J9" s="175"/>
      <c r="K9" s="175"/>
      <c r="L9" s="176"/>
    </row>
    <row r="10" spans="1:12" x14ac:dyDescent="0.25">
      <c r="A10" s="143" t="s">
        <v>107</v>
      </c>
      <c r="B10" s="144"/>
      <c r="C10" s="125" t="s">
        <v>13</v>
      </c>
      <c r="D10" s="126"/>
      <c r="E10" s="127"/>
      <c r="F10" s="9">
        <v>200</v>
      </c>
      <c r="G10" s="10">
        <f>24.85/1000*200</f>
        <v>4.97</v>
      </c>
      <c r="H10" s="10">
        <f>25.51/1000*200</f>
        <v>5.1020000000000003</v>
      </c>
      <c r="I10" s="10">
        <f>82.51/1000*200</f>
        <v>16.501999999999999</v>
      </c>
      <c r="J10" s="10">
        <f>659/1000*200</f>
        <v>131.80000000000001</v>
      </c>
      <c r="K10" s="11">
        <f>4.55/1000*200</f>
        <v>0.91</v>
      </c>
      <c r="L10" s="14">
        <v>94</v>
      </c>
    </row>
    <row r="11" spans="1:12" x14ac:dyDescent="0.25">
      <c r="A11" s="125"/>
      <c r="B11" s="127"/>
      <c r="C11" s="125" t="s">
        <v>126</v>
      </c>
      <c r="D11" s="126"/>
      <c r="E11" s="127"/>
      <c r="F11" s="9">
        <v>45</v>
      </c>
      <c r="G11" s="10">
        <v>4.79</v>
      </c>
      <c r="H11" s="10">
        <v>6.32</v>
      </c>
      <c r="I11" s="10">
        <v>14.56</v>
      </c>
      <c r="J11" s="10">
        <v>134</v>
      </c>
      <c r="K11" s="11">
        <v>0.08</v>
      </c>
      <c r="L11" s="12">
        <v>3</v>
      </c>
    </row>
    <row r="12" spans="1:12" ht="15" customHeight="1" x14ac:dyDescent="0.25">
      <c r="A12" s="125"/>
      <c r="B12" s="127"/>
      <c r="C12" s="145" t="s">
        <v>164</v>
      </c>
      <c r="D12" s="146"/>
      <c r="E12" s="147"/>
      <c r="F12" s="9">
        <v>150</v>
      </c>
      <c r="G12" s="10">
        <v>3.15</v>
      </c>
      <c r="H12" s="10">
        <v>2.72</v>
      </c>
      <c r="I12" s="10">
        <v>12.96</v>
      </c>
      <c r="J12" s="10">
        <v>89</v>
      </c>
      <c r="K12" s="11">
        <v>1.2</v>
      </c>
      <c r="L12" s="9">
        <v>397</v>
      </c>
    </row>
    <row r="13" spans="1:12" x14ac:dyDescent="0.25">
      <c r="A13" s="125" t="s">
        <v>91</v>
      </c>
      <c r="B13" s="127"/>
      <c r="C13" s="159" t="s">
        <v>76</v>
      </c>
      <c r="D13" s="160"/>
      <c r="E13" s="161"/>
      <c r="F13" s="9">
        <v>180</v>
      </c>
      <c r="G13" s="10">
        <v>0.9</v>
      </c>
      <c r="H13" s="10">
        <v>0</v>
      </c>
      <c r="I13" s="10">
        <v>18.18</v>
      </c>
      <c r="J13" s="10">
        <v>76.81</v>
      </c>
      <c r="K13" s="11">
        <v>3.6</v>
      </c>
      <c r="L13" s="13">
        <v>399</v>
      </c>
    </row>
    <row r="14" spans="1:12" ht="15" customHeight="1" x14ac:dyDescent="0.25">
      <c r="A14" s="125"/>
      <c r="B14" s="127"/>
      <c r="C14" s="149" t="s">
        <v>124</v>
      </c>
      <c r="D14" s="150"/>
      <c r="E14" s="151"/>
      <c r="F14" s="9">
        <v>75</v>
      </c>
      <c r="G14" s="10">
        <v>0.52500000000000002</v>
      </c>
      <c r="H14" s="10">
        <v>0.1275</v>
      </c>
      <c r="I14" s="10">
        <v>16.3125</v>
      </c>
      <c r="J14" s="10">
        <v>68.4375</v>
      </c>
      <c r="K14" s="11">
        <v>9.84</v>
      </c>
      <c r="L14" s="9">
        <v>369</v>
      </c>
    </row>
    <row r="15" spans="1:12" ht="15" customHeight="1" x14ac:dyDescent="0.25">
      <c r="A15" s="125" t="s">
        <v>90</v>
      </c>
      <c r="B15" s="127"/>
      <c r="C15" s="145" t="s">
        <v>44</v>
      </c>
      <c r="D15" s="146"/>
      <c r="E15" s="147"/>
      <c r="F15" s="9">
        <v>200</v>
      </c>
      <c r="G15" s="10">
        <v>4.0999999999999996</v>
      </c>
      <c r="H15" s="10">
        <v>4.28</v>
      </c>
      <c r="I15" s="10">
        <v>12.9</v>
      </c>
      <c r="J15" s="10">
        <v>106.6</v>
      </c>
      <c r="K15" s="11">
        <v>4.66</v>
      </c>
      <c r="L15" s="9">
        <v>81</v>
      </c>
    </row>
    <row r="16" spans="1:12" x14ac:dyDescent="0.25">
      <c r="A16" s="125"/>
      <c r="B16" s="127"/>
      <c r="C16" s="125" t="s">
        <v>131</v>
      </c>
      <c r="D16" s="126"/>
      <c r="E16" s="127"/>
      <c r="F16" s="9">
        <v>40</v>
      </c>
      <c r="G16" s="10">
        <f>69.57/1000*40</f>
        <v>2.7827999999999999</v>
      </c>
      <c r="H16" s="10">
        <f>24.32/1000*40</f>
        <v>0.97280000000000011</v>
      </c>
      <c r="I16" s="10">
        <f>479.32/1000*40</f>
        <v>19.172799999999999</v>
      </c>
      <c r="J16" s="10">
        <f>2414/1000*40</f>
        <v>96.56</v>
      </c>
      <c r="K16" s="11">
        <v>0</v>
      </c>
      <c r="L16" s="9">
        <v>453</v>
      </c>
    </row>
    <row r="17" spans="1:12" x14ac:dyDescent="0.25">
      <c r="A17" s="128"/>
      <c r="B17" s="129"/>
      <c r="C17" s="125" t="s">
        <v>37</v>
      </c>
      <c r="D17" s="126"/>
      <c r="E17" s="127"/>
      <c r="F17" s="9">
        <v>120</v>
      </c>
      <c r="G17" s="10">
        <f>57.32/1000*F17</f>
        <v>6.8784000000000001</v>
      </c>
      <c r="H17" s="10">
        <f>40.62/1000*F17</f>
        <v>4.8743999999999996</v>
      </c>
      <c r="I17" s="10">
        <f>257.61/1000*F17</f>
        <v>30.9132</v>
      </c>
      <c r="J17" s="10">
        <f>1625/1000*F17</f>
        <v>195</v>
      </c>
      <c r="K17" s="11">
        <v>0</v>
      </c>
      <c r="L17" s="9">
        <v>313</v>
      </c>
    </row>
    <row r="18" spans="1:12" x14ac:dyDescent="0.25">
      <c r="A18" s="128"/>
      <c r="B18" s="129"/>
      <c r="C18" s="125" t="s">
        <v>220</v>
      </c>
      <c r="D18" s="126"/>
      <c r="E18" s="127"/>
      <c r="F18" s="9">
        <v>120</v>
      </c>
      <c r="G18" s="10">
        <v>15.42</v>
      </c>
      <c r="H18" s="10">
        <v>12.41</v>
      </c>
      <c r="I18" s="10">
        <v>3.96</v>
      </c>
      <c r="J18" s="10">
        <v>189</v>
      </c>
      <c r="K18" s="11">
        <v>0.6</v>
      </c>
      <c r="L18" s="9">
        <v>277</v>
      </c>
    </row>
    <row r="19" spans="1:12" x14ac:dyDescent="0.25">
      <c r="A19" s="128"/>
      <c r="B19" s="129"/>
      <c r="C19" s="125" t="s">
        <v>128</v>
      </c>
      <c r="D19" s="126"/>
      <c r="E19" s="127"/>
      <c r="F19" s="9">
        <v>40</v>
      </c>
      <c r="G19" s="10">
        <f>14.08/1000*F19</f>
        <v>0.56320000000000003</v>
      </c>
      <c r="H19" s="10">
        <f>50.76/1000*F19</f>
        <v>2.0304000000000002</v>
      </c>
      <c r="I19" s="10">
        <f>90.17/1000*F19</f>
        <v>3.6067999999999998</v>
      </c>
      <c r="J19" s="10">
        <f>874/1000*F19</f>
        <v>34.96</v>
      </c>
      <c r="K19" s="11">
        <f>324.5/1000*F19</f>
        <v>12.98</v>
      </c>
      <c r="L19" s="9">
        <v>20</v>
      </c>
    </row>
    <row r="20" spans="1:12" ht="15" customHeight="1" x14ac:dyDescent="0.25">
      <c r="A20" s="125"/>
      <c r="B20" s="127"/>
      <c r="C20" s="145" t="s">
        <v>168</v>
      </c>
      <c r="D20" s="146"/>
      <c r="E20" s="147"/>
      <c r="F20" s="9">
        <v>150</v>
      </c>
      <c r="G20" s="10">
        <f>2.2/1000*150</f>
        <v>0.33</v>
      </c>
      <c r="H20" s="10">
        <f>0.1/1000*150</f>
        <v>1.5000000000000001E-2</v>
      </c>
      <c r="I20" s="10">
        <f>138.84/1000*150</f>
        <v>20.825999999999997</v>
      </c>
      <c r="J20" s="10">
        <f>565/1000*150</f>
        <v>84.749999999999986</v>
      </c>
      <c r="K20" s="11">
        <f>2/1000*150</f>
        <v>0.3</v>
      </c>
      <c r="L20" s="14">
        <v>376</v>
      </c>
    </row>
    <row r="21" spans="1:12" x14ac:dyDescent="0.25">
      <c r="A21" s="125"/>
      <c r="B21" s="127"/>
      <c r="C21" s="125" t="s">
        <v>129</v>
      </c>
      <c r="D21" s="126"/>
      <c r="E21" s="127"/>
      <c r="F21" s="9">
        <v>150</v>
      </c>
      <c r="G21" s="10">
        <v>6.0750000000000002</v>
      </c>
      <c r="H21" s="10">
        <v>6.3</v>
      </c>
      <c r="I21" s="10">
        <v>33.6</v>
      </c>
      <c r="J21" s="10">
        <v>215.25</v>
      </c>
      <c r="K21" s="11">
        <v>0.375</v>
      </c>
      <c r="L21" s="12">
        <v>199</v>
      </c>
    </row>
    <row r="22" spans="1:12" x14ac:dyDescent="0.25">
      <c r="A22" s="125"/>
      <c r="B22" s="127"/>
      <c r="C22" s="125" t="s">
        <v>263</v>
      </c>
      <c r="D22" s="126"/>
      <c r="E22" s="127"/>
      <c r="F22" s="99">
        <v>15</v>
      </c>
      <c r="G22" s="100">
        <v>0.31</v>
      </c>
      <c r="H22" s="100">
        <v>0.79</v>
      </c>
      <c r="I22" s="100">
        <v>1.06</v>
      </c>
      <c r="J22" s="100">
        <v>12.57</v>
      </c>
      <c r="K22" s="101">
        <v>4.8000000000000001E-2</v>
      </c>
      <c r="L22" s="99">
        <v>350</v>
      </c>
    </row>
    <row r="23" spans="1:12" x14ac:dyDescent="0.25">
      <c r="A23" s="125" t="s">
        <v>89</v>
      </c>
      <c r="B23" s="127"/>
      <c r="C23" s="125" t="s">
        <v>35</v>
      </c>
      <c r="D23" s="126"/>
      <c r="E23" s="127"/>
      <c r="F23" s="9">
        <v>200</v>
      </c>
      <c r="G23" s="10">
        <v>19.059999999999999</v>
      </c>
      <c r="H23" s="10">
        <v>15.62</v>
      </c>
      <c r="I23" s="10">
        <v>12.98</v>
      </c>
      <c r="J23" s="10">
        <v>266.24</v>
      </c>
      <c r="K23" s="11">
        <v>4.3600000000000003</v>
      </c>
      <c r="L23" s="9">
        <v>274</v>
      </c>
    </row>
    <row r="24" spans="1:12" ht="15" customHeight="1" x14ac:dyDescent="0.25">
      <c r="A24" s="125"/>
      <c r="B24" s="127"/>
      <c r="C24" s="125" t="s">
        <v>133</v>
      </c>
      <c r="D24" s="126"/>
      <c r="E24" s="127"/>
      <c r="F24" s="9">
        <v>40</v>
      </c>
      <c r="G24" s="10">
        <f>69.57/1000*40</f>
        <v>2.7827999999999999</v>
      </c>
      <c r="H24" s="10">
        <f>24.32/1000*40</f>
        <v>0.97280000000000011</v>
      </c>
      <c r="I24" s="10">
        <f>479.32/1000*40</f>
        <v>19.172799999999999</v>
      </c>
      <c r="J24" s="10">
        <f>2414/1000*40</f>
        <v>96.56</v>
      </c>
      <c r="K24" s="11">
        <v>0</v>
      </c>
      <c r="L24" s="9">
        <v>453</v>
      </c>
    </row>
    <row r="25" spans="1:12" x14ac:dyDescent="0.25">
      <c r="A25" s="125"/>
      <c r="B25" s="127"/>
      <c r="C25" s="125" t="s">
        <v>254</v>
      </c>
      <c r="D25" s="126"/>
      <c r="E25" s="127"/>
      <c r="F25" s="9">
        <v>150</v>
      </c>
      <c r="G25" s="10">
        <v>0.14000000000000001</v>
      </c>
      <c r="H25" s="10">
        <v>0.01</v>
      </c>
      <c r="I25" s="10">
        <v>9.6199999999999992</v>
      </c>
      <c r="J25" s="10">
        <v>39</v>
      </c>
      <c r="K25" s="11">
        <v>0.02</v>
      </c>
      <c r="L25" s="9">
        <v>392</v>
      </c>
    </row>
    <row r="26" spans="1:12" x14ac:dyDescent="0.25">
      <c r="A26" s="125"/>
      <c r="B26" s="127"/>
      <c r="C26" s="125" t="s">
        <v>255</v>
      </c>
      <c r="D26" s="126"/>
      <c r="E26" s="127"/>
      <c r="F26" s="9">
        <v>30</v>
      </c>
      <c r="G26" s="10"/>
      <c r="H26" s="10"/>
      <c r="I26" s="10"/>
      <c r="J26" s="10"/>
      <c r="K26" s="11"/>
      <c r="L26" s="9"/>
    </row>
    <row r="27" spans="1:12" ht="15" customHeight="1" x14ac:dyDescent="0.25">
      <c r="A27" s="152" t="s">
        <v>108</v>
      </c>
      <c r="B27" s="153"/>
      <c r="C27" s="154"/>
      <c r="D27" s="155"/>
      <c r="E27" s="156"/>
      <c r="F27" s="15">
        <f t="shared" ref="F27:K27" si="0">SUM(F10:F26)</f>
        <v>1905</v>
      </c>
      <c r="G27" s="16">
        <f t="shared" si="0"/>
        <v>72.777200000000008</v>
      </c>
      <c r="H27" s="16">
        <f t="shared" si="0"/>
        <v>62.544899999999998</v>
      </c>
      <c r="I27" s="16">
        <f t="shared" si="0"/>
        <v>246.32609999999997</v>
      </c>
      <c r="J27" s="16">
        <f t="shared" si="0"/>
        <v>1836.5374999999999</v>
      </c>
      <c r="K27" s="17">
        <f t="shared" si="0"/>
        <v>38.973000000000006</v>
      </c>
      <c r="L27" s="15"/>
    </row>
    <row r="28" spans="1:12" ht="15" customHeight="1" x14ac:dyDescent="0.25">
      <c r="A28" s="157" t="s">
        <v>125</v>
      </c>
      <c r="B28" s="158"/>
      <c r="C28" s="162" t="s">
        <v>140</v>
      </c>
      <c r="D28" s="163"/>
      <c r="E28" s="163"/>
      <c r="F28" s="163"/>
      <c r="G28" s="163"/>
      <c r="H28" s="163"/>
      <c r="I28" s="163"/>
      <c r="J28" s="163"/>
      <c r="K28" s="163"/>
      <c r="L28" s="164"/>
    </row>
    <row r="29" spans="1:12" x14ac:dyDescent="0.25">
      <c r="A29" s="143" t="s">
        <v>107</v>
      </c>
      <c r="B29" s="144"/>
      <c r="C29" s="125" t="s">
        <v>12</v>
      </c>
      <c r="D29" s="126"/>
      <c r="E29" s="127"/>
      <c r="F29" s="9">
        <v>200</v>
      </c>
      <c r="G29" s="10">
        <v>7.4</v>
      </c>
      <c r="H29" s="10">
        <v>7.48</v>
      </c>
      <c r="I29" s="10">
        <v>36.5</v>
      </c>
      <c r="J29" s="10">
        <v>243</v>
      </c>
      <c r="K29" s="11">
        <v>1.34</v>
      </c>
      <c r="L29" s="14">
        <v>94</v>
      </c>
    </row>
    <row r="30" spans="1:12" x14ac:dyDescent="0.25">
      <c r="A30" s="125"/>
      <c r="B30" s="127"/>
      <c r="C30" s="125" t="s">
        <v>134</v>
      </c>
      <c r="D30" s="126"/>
      <c r="E30" s="127"/>
      <c r="F30" s="9">
        <v>40</v>
      </c>
      <c r="G30" s="10">
        <v>2.4500000000000002</v>
      </c>
      <c r="H30" s="10">
        <v>7.55</v>
      </c>
      <c r="I30" s="10">
        <v>14.62</v>
      </c>
      <c r="J30" s="10">
        <v>136</v>
      </c>
      <c r="K30" s="11">
        <v>0</v>
      </c>
      <c r="L30" s="12">
        <v>1</v>
      </c>
    </row>
    <row r="31" spans="1:12" x14ac:dyDescent="0.25">
      <c r="A31" s="125"/>
      <c r="B31" s="127"/>
      <c r="C31" s="125" t="s">
        <v>174</v>
      </c>
      <c r="D31" s="126"/>
      <c r="E31" s="127"/>
      <c r="F31" s="9">
        <v>40</v>
      </c>
      <c r="G31" s="10">
        <v>5.12</v>
      </c>
      <c r="H31" s="10">
        <v>8.8800000000000008</v>
      </c>
      <c r="I31" s="10">
        <v>0.6</v>
      </c>
      <c r="J31" s="10">
        <v>103</v>
      </c>
      <c r="K31" s="11">
        <v>0</v>
      </c>
      <c r="L31" s="12">
        <v>9</v>
      </c>
    </row>
    <row r="32" spans="1:12" ht="15" customHeight="1" x14ac:dyDescent="0.25">
      <c r="A32" s="125"/>
      <c r="B32" s="127"/>
      <c r="C32" s="145" t="s">
        <v>165</v>
      </c>
      <c r="D32" s="146"/>
      <c r="E32" s="147"/>
      <c r="F32" s="9">
        <v>150</v>
      </c>
      <c r="G32" s="10">
        <v>0.04</v>
      </c>
      <c r="H32" s="10">
        <v>0.01</v>
      </c>
      <c r="I32" s="10">
        <v>6.99</v>
      </c>
      <c r="J32" s="10">
        <v>28</v>
      </c>
      <c r="K32" s="11">
        <v>0.02</v>
      </c>
      <c r="L32" s="9">
        <v>392</v>
      </c>
    </row>
    <row r="33" spans="1:12" x14ac:dyDescent="0.25">
      <c r="A33" s="125" t="s">
        <v>91</v>
      </c>
      <c r="B33" s="127"/>
      <c r="C33" s="159" t="s">
        <v>257</v>
      </c>
      <c r="D33" s="160"/>
      <c r="E33" s="161"/>
      <c r="F33" s="9">
        <v>150</v>
      </c>
      <c r="G33" s="10">
        <v>4.58</v>
      </c>
      <c r="H33" s="10">
        <v>4.08</v>
      </c>
      <c r="I33" s="10">
        <v>7.58</v>
      </c>
      <c r="J33" s="10">
        <v>85</v>
      </c>
      <c r="K33" s="11">
        <v>2.0499999999999998</v>
      </c>
      <c r="L33" s="13">
        <v>400</v>
      </c>
    </row>
    <row r="34" spans="1:12" ht="15" customHeight="1" x14ac:dyDescent="0.25">
      <c r="A34" s="125"/>
      <c r="B34" s="127"/>
      <c r="C34" s="149" t="s">
        <v>215</v>
      </c>
      <c r="D34" s="150"/>
      <c r="E34" s="151"/>
      <c r="F34" s="9">
        <v>150</v>
      </c>
      <c r="G34" s="10">
        <v>4.5</v>
      </c>
      <c r="H34" s="10">
        <v>1.5</v>
      </c>
      <c r="I34" s="10">
        <v>6</v>
      </c>
      <c r="J34" s="10">
        <v>56</v>
      </c>
      <c r="K34" s="11">
        <v>1.2</v>
      </c>
      <c r="L34" s="9">
        <v>401</v>
      </c>
    </row>
    <row r="35" spans="1:12" ht="15" customHeight="1" x14ac:dyDescent="0.25">
      <c r="A35" s="125" t="s">
        <v>90</v>
      </c>
      <c r="B35" s="127"/>
      <c r="C35" s="145" t="s">
        <v>40</v>
      </c>
      <c r="D35" s="146"/>
      <c r="E35" s="147"/>
      <c r="F35" s="9">
        <v>200</v>
      </c>
      <c r="G35" s="10">
        <f>39.57/1000*F35</f>
        <v>7.9140000000000006</v>
      </c>
      <c r="H35" s="10">
        <f>29.08/1000*F35</f>
        <v>5.8159999999999998</v>
      </c>
      <c r="I35" s="10">
        <f>54.92/1000*F35</f>
        <v>10.984</v>
      </c>
      <c r="J35" s="10">
        <f>640/1000*F35</f>
        <v>128</v>
      </c>
      <c r="K35" s="11">
        <f>62.46/1000*F35</f>
        <v>12.492000000000001</v>
      </c>
      <c r="L35" s="9">
        <v>62</v>
      </c>
    </row>
    <row r="36" spans="1:12" x14ac:dyDescent="0.25">
      <c r="A36" s="125"/>
      <c r="B36" s="127"/>
      <c r="C36" s="125" t="s">
        <v>131</v>
      </c>
      <c r="D36" s="126"/>
      <c r="E36" s="127"/>
      <c r="F36" s="9">
        <v>40</v>
      </c>
      <c r="G36" s="10">
        <f>69.57/1000*40</f>
        <v>2.7827999999999999</v>
      </c>
      <c r="H36" s="10">
        <f>24.32/1000*40</f>
        <v>0.97280000000000011</v>
      </c>
      <c r="I36" s="10">
        <f>479.32/1000*40</f>
        <v>19.172799999999999</v>
      </c>
      <c r="J36" s="10">
        <f>2414/1000*40</f>
        <v>96.56</v>
      </c>
      <c r="K36" s="11">
        <v>0</v>
      </c>
      <c r="L36" s="9">
        <v>453</v>
      </c>
    </row>
    <row r="37" spans="1:12" x14ac:dyDescent="0.25">
      <c r="A37" s="128"/>
      <c r="B37" s="129"/>
      <c r="C37" s="125" t="s">
        <v>33</v>
      </c>
      <c r="D37" s="126"/>
      <c r="E37" s="127"/>
      <c r="F37" s="9">
        <v>120</v>
      </c>
      <c r="G37" s="10">
        <f>36.78/1000*F37</f>
        <v>4.4135999999999997</v>
      </c>
      <c r="H37" s="10">
        <f>30.1/1000*F37</f>
        <v>3.6120000000000001</v>
      </c>
      <c r="I37" s="10">
        <f>176.3/1000*120</f>
        <v>21.156000000000002</v>
      </c>
      <c r="J37" s="10">
        <f>1123/1000*120</f>
        <v>134.76</v>
      </c>
      <c r="K37" s="11">
        <v>0</v>
      </c>
      <c r="L37" s="9">
        <v>317</v>
      </c>
    </row>
    <row r="38" spans="1:12" ht="18" customHeight="1" x14ac:dyDescent="0.25">
      <c r="A38" s="128"/>
      <c r="B38" s="129"/>
      <c r="C38" s="145" t="s">
        <v>258</v>
      </c>
      <c r="D38" s="146"/>
      <c r="E38" s="147"/>
      <c r="F38" s="9">
        <v>50</v>
      </c>
      <c r="G38" s="10">
        <v>5.7</v>
      </c>
      <c r="H38" s="10">
        <v>9.1</v>
      </c>
      <c r="I38" s="10">
        <v>0.65</v>
      </c>
      <c r="J38" s="10">
        <v>107</v>
      </c>
      <c r="K38" s="11">
        <v>0</v>
      </c>
      <c r="L38" s="9">
        <v>275</v>
      </c>
    </row>
    <row r="39" spans="1:12" x14ac:dyDescent="0.25">
      <c r="A39" s="128"/>
      <c r="B39" s="129"/>
      <c r="C39" s="125" t="s">
        <v>24</v>
      </c>
      <c r="D39" s="126"/>
      <c r="E39" s="127"/>
      <c r="F39" s="9">
        <v>15</v>
      </c>
      <c r="G39" s="10">
        <f>11.62/1000*15</f>
        <v>0.17429999999999998</v>
      </c>
      <c r="H39" s="10">
        <f>42.03/1000*15</f>
        <v>0.63044999999999995</v>
      </c>
      <c r="I39" s="10">
        <f>80.18/1000*15</f>
        <v>1.2027000000000001</v>
      </c>
      <c r="J39" s="10">
        <f>745/1000*15</f>
        <v>11.175000000000001</v>
      </c>
      <c r="K39" s="11">
        <f>23.75/1000*15</f>
        <v>0.35625000000000001</v>
      </c>
      <c r="L39" s="9">
        <v>348</v>
      </c>
    </row>
    <row r="40" spans="1:12" ht="26.25" customHeight="1" x14ac:dyDescent="0.25">
      <c r="A40" s="128"/>
      <c r="B40" s="129"/>
      <c r="C40" s="145" t="s">
        <v>274</v>
      </c>
      <c r="D40" s="146"/>
      <c r="E40" s="147"/>
      <c r="F40" s="9">
        <v>40</v>
      </c>
      <c r="G40" s="10">
        <f>9.84/1000*40</f>
        <v>0.39360000000000001</v>
      </c>
      <c r="H40" s="10">
        <f>61.5/1000*40</f>
        <v>2.46</v>
      </c>
      <c r="I40" s="10">
        <f>37.32/1000*40</f>
        <v>1.4927999999999999</v>
      </c>
      <c r="J40" s="10">
        <f>742/1000*40</f>
        <v>29.68</v>
      </c>
      <c r="K40" s="11">
        <f>167.6/1000*40</f>
        <v>6.7039999999999997</v>
      </c>
      <c r="L40" s="9">
        <v>15</v>
      </c>
    </row>
    <row r="41" spans="1:12" x14ac:dyDescent="0.25">
      <c r="A41" s="125"/>
      <c r="B41" s="127"/>
      <c r="C41" s="125" t="s">
        <v>167</v>
      </c>
      <c r="D41" s="126"/>
      <c r="E41" s="127"/>
      <c r="F41" s="9">
        <v>150</v>
      </c>
      <c r="G41" s="10">
        <f>1.5/1000*150</f>
        <v>0.22500000000000001</v>
      </c>
      <c r="H41" s="10">
        <f>0.6/1000*150</f>
        <v>0.09</v>
      </c>
      <c r="I41" s="10">
        <f>110.75/1000*150</f>
        <v>16.612500000000001</v>
      </c>
      <c r="J41" s="10">
        <f>454/1000*150</f>
        <v>68.100000000000009</v>
      </c>
      <c r="K41" s="11">
        <f>129/1000*150</f>
        <v>19.350000000000001</v>
      </c>
      <c r="L41" s="12">
        <v>375</v>
      </c>
    </row>
    <row r="42" spans="1:12" x14ac:dyDescent="0.25">
      <c r="A42" s="125"/>
      <c r="B42" s="127"/>
      <c r="C42" s="125" t="s">
        <v>259</v>
      </c>
      <c r="D42" s="126"/>
      <c r="E42" s="127"/>
      <c r="F42" s="9">
        <v>35</v>
      </c>
      <c r="G42" s="10">
        <v>4.6100000000000003</v>
      </c>
      <c r="H42" s="10">
        <v>1.47</v>
      </c>
      <c r="I42" s="10">
        <v>14.59</v>
      </c>
      <c r="J42" s="10">
        <v>101</v>
      </c>
      <c r="K42" s="11"/>
      <c r="L42" s="9">
        <v>458</v>
      </c>
    </row>
    <row r="43" spans="1:12" x14ac:dyDescent="0.25">
      <c r="A43" s="125" t="s">
        <v>89</v>
      </c>
      <c r="B43" s="127"/>
      <c r="C43" s="125" t="s">
        <v>51</v>
      </c>
      <c r="D43" s="126"/>
      <c r="E43" s="127"/>
      <c r="F43" s="9">
        <v>160</v>
      </c>
      <c r="G43" s="10">
        <v>16</v>
      </c>
      <c r="H43" s="10">
        <v>478</v>
      </c>
      <c r="I43" s="10">
        <v>26.76</v>
      </c>
      <c r="J43" s="10">
        <v>304</v>
      </c>
      <c r="K43" s="11">
        <v>0.41</v>
      </c>
      <c r="L43" s="9">
        <v>304</v>
      </c>
    </row>
    <row r="44" spans="1:12" ht="15" customHeight="1" x14ac:dyDescent="0.25">
      <c r="A44" s="125"/>
      <c r="B44" s="127"/>
      <c r="C44" s="125" t="s">
        <v>133</v>
      </c>
      <c r="D44" s="126"/>
      <c r="E44" s="127"/>
      <c r="F44" s="9">
        <v>40</v>
      </c>
      <c r="G44" s="10">
        <f>69.57/1000*40</f>
        <v>2.7827999999999999</v>
      </c>
      <c r="H44" s="10">
        <f>24.32/1000*40</f>
        <v>0.97280000000000011</v>
      </c>
      <c r="I44" s="10">
        <f>479.32/1000*40</f>
        <v>19.172799999999999</v>
      </c>
      <c r="J44" s="10">
        <f>2414/1000*40</f>
        <v>96.56</v>
      </c>
      <c r="K44" s="11">
        <v>0</v>
      </c>
      <c r="L44" s="9">
        <v>453</v>
      </c>
    </row>
    <row r="45" spans="1:12" x14ac:dyDescent="0.25">
      <c r="A45" s="125"/>
      <c r="B45" s="127"/>
      <c r="C45" s="125" t="s">
        <v>166</v>
      </c>
      <c r="D45" s="126"/>
      <c r="E45" s="127"/>
      <c r="F45" s="9">
        <v>150</v>
      </c>
      <c r="G45" s="10">
        <v>2.65</v>
      </c>
      <c r="H45" s="10">
        <v>2.33</v>
      </c>
      <c r="I45" s="10">
        <v>11.31</v>
      </c>
      <c r="J45" s="10">
        <v>77</v>
      </c>
      <c r="K45" s="11">
        <v>1.19</v>
      </c>
      <c r="L45" s="9">
        <v>394</v>
      </c>
    </row>
    <row r="46" spans="1:12" x14ac:dyDescent="0.25">
      <c r="C46" t="s">
        <v>256</v>
      </c>
    </row>
    <row r="47" spans="1:12" ht="15" customHeight="1" x14ac:dyDescent="0.25">
      <c r="A47" s="152" t="s">
        <v>109</v>
      </c>
      <c r="B47" s="153"/>
      <c r="C47" s="154"/>
      <c r="D47" s="155"/>
      <c r="E47" s="156"/>
      <c r="F47" s="15">
        <f t="shared" ref="F47:K47" si="1">SUM(F29:F45)</f>
        <v>1730</v>
      </c>
      <c r="G47" s="16">
        <f t="shared" si="1"/>
        <v>71.736100000000008</v>
      </c>
      <c r="H47" s="16">
        <f t="shared" si="1"/>
        <v>534.95405000000005</v>
      </c>
      <c r="I47" s="16">
        <f t="shared" si="1"/>
        <v>215.39359999999999</v>
      </c>
      <c r="J47" s="16">
        <f t="shared" si="1"/>
        <v>1804.8349999999998</v>
      </c>
      <c r="K47" s="17">
        <f t="shared" si="1"/>
        <v>45.112249999999996</v>
      </c>
      <c r="L47" s="15"/>
    </row>
    <row r="48" spans="1:12" ht="15" customHeight="1" x14ac:dyDescent="0.25">
      <c r="A48" s="198" t="s">
        <v>110</v>
      </c>
      <c r="B48" s="199"/>
      <c r="C48" s="200" t="s">
        <v>141</v>
      </c>
      <c r="D48" s="201"/>
      <c r="E48" s="201"/>
      <c r="F48" s="201"/>
      <c r="G48" s="201"/>
      <c r="H48" s="201"/>
      <c r="I48" s="201"/>
      <c r="J48" s="201"/>
      <c r="K48" s="201"/>
      <c r="L48" s="202"/>
    </row>
    <row r="49" spans="1:12" x14ac:dyDescent="0.25">
      <c r="A49" s="125" t="s">
        <v>92</v>
      </c>
      <c r="B49" s="127"/>
      <c r="C49" s="125" t="s">
        <v>14</v>
      </c>
      <c r="D49" s="126"/>
      <c r="E49" s="127"/>
      <c r="F49" s="9">
        <v>200</v>
      </c>
      <c r="G49" s="10">
        <f>29.62/1000*200</f>
        <v>5.9240000000000004</v>
      </c>
      <c r="H49" s="10">
        <f>29.66/1000*200</f>
        <v>5.9319999999999995</v>
      </c>
      <c r="I49" s="10">
        <f>89.64/1000*200</f>
        <v>17.928000000000001</v>
      </c>
      <c r="J49" s="10">
        <f>744/1000*200</f>
        <v>148.80000000000001</v>
      </c>
      <c r="K49" s="11">
        <f>4.55/1000*200</f>
        <v>0.91</v>
      </c>
      <c r="L49" s="14">
        <v>94</v>
      </c>
    </row>
    <row r="50" spans="1:12" x14ac:dyDescent="0.25">
      <c r="A50" s="125"/>
      <c r="B50" s="127"/>
      <c r="C50" s="125" t="s">
        <v>137</v>
      </c>
      <c r="D50" s="126"/>
      <c r="E50" s="127"/>
      <c r="F50" s="9">
        <v>55</v>
      </c>
      <c r="G50" s="10">
        <v>2.5099999999999998</v>
      </c>
      <c r="H50" s="10">
        <v>3.93</v>
      </c>
      <c r="I50" s="10">
        <v>28.88</v>
      </c>
      <c r="J50" s="10">
        <v>161</v>
      </c>
      <c r="K50" s="11">
        <v>0.48</v>
      </c>
      <c r="L50" s="12">
        <v>2</v>
      </c>
    </row>
    <row r="51" spans="1:12" ht="15" customHeight="1" x14ac:dyDescent="0.25">
      <c r="A51" s="125"/>
      <c r="B51" s="127"/>
      <c r="C51" s="145" t="s">
        <v>178</v>
      </c>
      <c r="D51" s="146"/>
      <c r="E51" s="147"/>
      <c r="F51" s="9">
        <v>150</v>
      </c>
      <c r="G51" s="10">
        <v>0.14000000000000001</v>
      </c>
      <c r="H51" s="10">
        <v>0.01</v>
      </c>
      <c r="I51" s="10">
        <v>9.6199999999999992</v>
      </c>
      <c r="J51" s="10">
        <v>39</v>
      </c>
      <c r="K51" s="11">
        <v>0.02</v>
      </c>
      <c r="L51" s="9">
        <v>392</v>
      </c>
    </row>
    <row r="52" spans="1:12" x14ac:dyDescent="0.25">
      <c r="A52" s="125" t="s">
        <v>91</v>
      </c>
      <c r="B52" s="127"/>
      <c r="C52" s="159" t="s">
        <v>76</v>
      </c>
      <c r="D52" s="160"/>
      <c r="E52" s="161"/>
      <c r="F52" s="9">
        <v>180</v>
      </c>
      <c r="G52" s="10">
        <v>0.9</v>
      </c>
      <c r="H52" s="10">
        <v>0</v>
      </c>
      <c r="I52" s="10">
        <v>18.18</v>
      </c>
      <c r="J52" s="10">
        <v>76.81</v>
      </c>
      <c r="K52" s="11">
        <v>3.6</v>
      </c>
      <c r="L52" s="13">
        <v>399</v>
      </c>
    </row>
    <row r="53" spans="1:12" ht="15" customHeight="1" x14ac:dyDescent="0.25">
      <c r="A53" s="125"/>
      <c r="B53" s="127"/>
      <c r="C53" s="149" t="s">
        <v>124</v>
      </c>
      <c r="D53" s="150"/>
      <c r="E53" s="151"/>
      <c r="F53" s="9">
        <v>75</v>
      </c>
      <c r="G53" s="10">
        <v>0.52500000000000002</v>
      </c>
      <c r="H53" s="10">
        <v>0.1275</v>
      </c>
      <c r="I53" s="10">
        <v>16.3125</v>
      </c>
      <c r="J53" s="10">
        <v>68.4375</v>
      </c>
      <c r="K53" s="11">
        <v>9.84</v>
      </c>
      <c r="L53" s="9">
        <v>369</v>
      </c>
    </row>
    <row r="54" spans="1:12" ht="15" customHeight="1" x14ac:dyDescent="0.25">
      <c r="A54" s="125" t="s">
        <v>90</v>
      </c>
      <c r="B54" s="127"/>
      <c r="C54" s="145" t="s">
        <v>260</v>
      </c>
      <c r="D54" s="146"/>
      <c r="E54" s="147"/>
      <c r="F54" s="9">
        <v>200</v>
      </c>
      <c r="G54" s="10">
        <f>34.39/1000*200</f>
        <v>6.878000000000001</v>
      </c>
      <c r="H54" s="10">
        <f>33.62/1000*200</f>
        <v>6.7239999999999993</v>
      </c>
      <c r="I54" s="10">
        <f>57.33/1000*200</f>
        <v>11.465999999999999</v>
      </c>
      <c r="J54" s="10">
        <f>669/1000*200</f>
        <v>133.80000000000001</v>
      </c>
      <c r="K54" s="11">
        <f>36.45/1000*200</f>
        <v>7.2900000000000009</v>
      </c>
      <c r="L54" s="9">
        <v>87</v>
      </c>
    </row>
    <row r="55" spans="1:12" ht="15" customHeight="1" x14ac:dyDescent="0.25">
      <c r="A55" s="125"/>
      <c r="B55" s="127"/>
      <c r="C55" s="125" t="s">
        <v>131</v>
      </c>
      <c r="D55" s="126"/>
      <c r="E55" s="127"/>
      <c r="F55" s="9">
        <v>40</v>
      </c>
      <c r="G55" s="10">
        <f>69.57/1000*40</f>
        <v>2.7827999999999999</v>
      </c>
      <c r="H55" s="10">
        <f>24.32/1000*40</f>
        <v>0.97280000000000011</v>
      </c>
      <c r="I55" s="10">
        <f>479.32/1000*40</f>
        <v>19.172799999999999</v>
      </c>
      <c r="J55" s="10">
        <f>2414/1000*40</f>
        <v>96.56</v>
      </c>
      <c r="K55" s="11">
        <v>0</v>
      </c>
      <c r="L55" s="9">
        <v>453</v>
      </c>
    </row>
    <row r="56" spans="1:12" x14ac:dyDescent="0.25">
      <c r="A56" s="125"/>
      <c r="B56" s="127"/>
      <c r="C56" s="125" t="s">
        <v>32</v>
      </c>
      <c r="D56" s="126"/>
      <c r="E56" s="127"/>
      <c r="F56" s="9">
        <v>120</v>
      </c>
      <c r="G56" s="10">
        <f>24.34/1000*120</f>
        <v>2.9207999999999998</v>
      </c>
      <c r="H56" s="10">
        <f>35.83/1000*120</f>
        <v>4.2995999999999999</v>
      </c>
      <c r="I56" s="10">
        <f>244.56/1000*120</f>
        <v>29.347200000000001</v>
      </c>
      <c r="J56" s="10">
        <f>1398/1000*120</f>
        <v>167.76</v>
      </c>
      <c r="K56" s="11"/>
      <c r="L56" s="12">
        <v>315</v>
      </c>
    </row>
    <row r="57" spans="1:12" x14ac:dyDescent="0.25">
      <c r="A57" s="125"/>
      <c r="B57" s="127"/>
      <c r="C57" s="125" t="s">
        <v>50</v>
      </c>
      <c r="D57" s="126"/>
      <c r="E57" s="127"/>
      <c r="F57" s="9">
        <v>60</v>
      </c>
      <c r="G57" s="10">
        <v>7.99</v>
      </c>
      <c r="H57" s="10">
        <v>2.1</v>
      </c>
      <c r="I57" s="10">
        <v>4.38</v>
      </c>
      <c r="J57" s="10">
        <v>68</v>
      </c>
      <c r="K57" s="11">
        <v>0.14000000000000001</v>
      </c>
      <c r="L57" s="9">
        <v>263</v>
      </c>
    </row>
    <row r="58" spans="1:12" ht="15" customHeight="1" x14ac:dyDescent="0.25">
      <c r="A58" s="125"/>
      <c r="B58" s="127"/>
      <c r="C58" s="145" t="s">
        <v>26</v>
      </c>
      <c r="D58" s="146"/>
      <c r="E58" s="147"/>
      <c r="F58" s="9">
        <v>15</v>
      </c>
      <c r="G58" s="10">
        <f>20.56/1000*15</f>
        <v>0.30839999999999995</v>
      </c>
      <c r="H58" s="10">
        <f>52.42/1000*15</f>
        <v>0.7863</v>
      </c>
      <c r="I58" s="10">
        <f>70.92/1000*15</f>
        <v>1.0637999999999999</v>
      </c>
      <c r="J58" s="10">
        <f>830/1000*15</f>
        <v>12.45</v>
      </c>
      <c r="K58" s="11">
        <f>3.25/1000*15</f>
        <v>4.8749999999999995E-2</v>
      </c>
      <c r="L58" s="14">
        <v>350</v>
      </c>
    </row>
    <row r="59" spans="1:12" ht="15" customHeight="1" x14ac:dyDescent="0.25">
      <c r="A59" s="125"/>
      <c r="B59" s="127"/>
      <c r="C59" s="145" t="s">
        <v>58</v>
      </c>
      <c r="D59" s="146"/>
      <c r="E59" s="147"/>
      <c r="F59" s="9">
        <v>40</v>
      </c>
      <c r="G59" s="10">
        <f>8.58/1000*40</f>
        <v>0.34320000000000006</v>
      </c>
      <c r="H59" s="10">
        <f>51.06/1000*40</f>
        <v>2.0424000000000002</v>
      </c>
      <c r="I59" s="10">
        <f>26.07/1000*40</f>
        <v>1.0427999999999999</v>
      </c>
      <c r="J59" s="10">
        <f>598/1000*40</f>
        <v>23.919999999999998</v>
      </c>
      <c r="K59" s="11">
        <f>55.5/1000*40</f>
        <v>2.2200000000000002</v>
      </c>
      <c r="L59" s="9">
        <v>19</v>
      </c>
    </row>
    <row r="60" spans="1:12" ht="15" customHeight="1" x14ac:dyDescent="0.25">
      <c r="A60" s="125"/>
      <c r="B60" s="127"/>
      <c r="C60" s="145" t="s">
        <v>168</v>
      </c>
      <c r="D60" s="146"/>
      <c r="E60" s="147"/>
      <c r="F60" s="9">
        <v>150</v>
      </c>
      <c r="G60" s="10">
        <f>2.2/1000*150</f>
        <v>0.33</v>
      </c>
      <c r="H60" s="10">
        <f>0.1/1000*150</f>
        <v>1.5000000000000001E-2</v>
      </c>
      <c r="I60" s="10">
        <f>138.84/1000*150</f>
        <v>20.825999999999997</v>
      </c>
      <c r="J60" s="10">
        <f>565/1000*150</f>
        <v>84.749999999999986</v>
      </c>
      <c r="K60" s="11">
        <f>2/1000*150</f>
        <v>0.3</v>
      </c>
      <c r="L60" s="14">
        <v>376</v>
      </c>
    </row>
    <row r="61" spans="1:12" ht="15" customHeight="1" x14ac:dyDescent="0.25">
      <c r="A61" s="125"/>
      <c r="B61" s="127"/>
      <c r="C61" s="145" t="s">
        <v>264</v>
      </c>
      <c r="D61" s="146"/>
      <c r="E61" s="147"/>
      <c r="F61" s="9">
        <v>50</v>
      </c>
      <c r="G61" s="10">
        <v>6.95</v>
      </c>
      <c r="H61" s="10">
        <v>5.3</v>
      </c>
      <c r="I61" s="10">
        <v>11.52</v>
      </c>
      <c r="J61" s="10">
        <v>122</v>
      </c>
      <c r="K61" s="11">
        <v>0.15</v>
      </c>
      <c r="L61" s="9">
        <v>239</v>
      </c>
    </row>
    <row r="62" spans="1:12" ht="15" customHeight="1" x14ac:dyDescent="0.25">
      <c r="A62" s="125" t="s">
        <v>89</v>
      </c>
      <c r="B62" s="127"/>
      <c r="C62" s="145" t="s">
        <v>267</v>
      </c>
      <c r="D62" s="146"/>
      <c r="E62" s="147"/>
      <c r="F62" s="99">
        <v>115</v>
      </c>
      <c r="G62" s="100">
        <v>3.93</v>
      </c>
      <c r="H62" s="100">
        <v>6.56</v>
      </c>
      <c r="I62" s="100">
        <v>18.170000000000002</v>
      </c>
      <c r="J62" s="100">
        <v>147</v>
      </c>
      <c r="K62" s="101">
        <v>8.6199999999999992</v>
      </c>
      <c r="L62" s="102">
        <v>155</v>
      </c>
    </row>
    <row r="63" spans="1:12" ht="15" customHeight="1" x14ac:dyDescent="0.25">
      <c r="A63" s="128"/>
      <c r="B63" s="129"/>
      <c r="C63" s="145" t="s">
        <v>268</v>
      </c>
      <c r="D63" s="146"/>
      <c r="E63" s="147"/>
      <c r="F63" s="9">
        <v>150</v>
      </c>
      <c r="G63" s="10">
        <v>4.5999999999999996</v>
      </c>
      <c r="H63" s="10">
        <v>4.18</v>
      </c>
      <c r="I63" s="10">
        <v>32.700000000000003</v>
      </c>
      <c r="J63" s="10">
        <v>187</v>
      </c>
      <c r="K63" s="11">
        <v>0</v>
      </c>
      <c r="L63" s="14">
        <v>165</v>
      </c>
    </row>
    <row r="64" spans="1:12" ht="15" customHeight="1" x14ac:dyDescent="0.25">
      <c r="A64" s="125"/>
      <c r="B64" s="127"/>
      <c r="C64" s="125" t="s">
        <v>133</v>
      </c>
      <c r="D64" s="126"/>
      <c r="E64" s="127"/>
      <c r="F64" s="9">
        <v>40</v>
      </c>
      <c r="G64" s="10">
        <f>69.57/1000*40</f>
        <v>2.7827999999999999</v>
      </c>
      <c r="H64" s="10">
        <f>24.32/1000*40</f>
        <v>0.97280000000000011</v>
      </c>
      <c r="I64" s="10">
        <f>479.32/1000*40</f>
        <v>19.172799999999999</v>
      </c>
      <c r="J64" s="10">
        <f>2414/1000*40</f>
        <v>96.56</v>
      </c>
      <c r="K64" s="11">
        <v>0</v>
      </c>
      <c r="L64" s="9">
        <v>453</v>
      </c>
    </row>
    <row r="65" spans="1:12" ht="15" customHeight="1" x14ac:dyDescent="0.25">
      <c r="A65" s="125"/>
      <c r="B65" s="127"/>
      <c r="C65" s="145" t="s">
        <v>269</v>
      </c>
      <c r="D65" s="146"/>
      <c r="E65" s="147"/>
      <c r="F65" s="9">
        <v>150</v>
      </c>
      <c r="G65" s="10">
        <v>0.04</v>
      </c>
      <c r="H65" s="10">
        <v>0.01</v>
      </c>
      <c r="I65" s="10">
        <v>6.99</v>
      </c>
      <c r="J65" s="10">
        <v>28</v>
      </c>
      <c r="K65" s="11">
        <v>0.02</v>
      </c>
      <c r="L65" s="9">
        <v>392</v>
      </c>
    </row>
    <row r="66" spans="1:12" ht="15" customHeight="1" x14ac:dyDescent="0.25">
      <c r="A66" s="128"/>
      <c r="B66" s="129"/>
      <c r="C66" s="125" t="s">
        <v>270</v>
      </c>
      <c r="D66" s="126"/>
      <c r="E66" s="127"/>
      <c r="F66" s="9"/>
      <c r="G66" s="10"/>
      <c r="H66" s="10"/>
      <c r="I66" s="10"/>
      <c r="J66" s="10"/>
      <c r="K66" s="11"/>
      <c r="L66" s="9"/>
    </row>
    <row r="67" spans="1:12" ht="15" customHeight="1" x14ac:dyDescent="0.25">
      <c r="A67" s="152" t="s">
        <v>111</v>
      </c>
      <c r="B67" s="153"/>
      <c r="C67" s="154"/>
      <c r="D67" s="155"/>
      <c r="E67" s="156"/>
      <c r="F67" s="15">
        <f t="shared" ref="F67:K67" si="2">SUM(F49:F66)</f>
        <v>1790</v>
      </c>
      <c r="G67" s="16">
        <f t="shared" si="2"/>
        <v>49.855000000000004</v>
      </c>
      <c r="H67" s="16">
        <f t="shared" si="2"/>
        <v>43.962400000000002</v>
      </c>
      <c r="I67" s="16">
        <f t="shared" si="2"/>
        <v>266.77189999999996</v>
      </c>
      <c r="J67" s="16">
        <f t="shared" si="2"/>
        <v>1661.8474999999999</v>
      </c>
      <c r="K67" s="17">
        <f t="shared" si="2"/>
        <v>33.638750000000002</v>
      </c>
      <c r="L67" s="15"/>
    </row>
    <row r="68" spans="1:12" ht="15" customHeight="1" x14ac:dyDescent="0.25">
      <c r="A68" s="157" t="s">
        <v>138</v>
      </c>
      <c r="B68" s="158"/>
      <c r="C68" s="162" t="s">
        <v>143</v>
      </c>
      <c r="D68" s="163"/>
      <c r="E68" s="163"/>
      <c r="F68" s="163"/>
      <c r="G68" s="163"/>
      <c r="H68" s="163"/>
      <c r="I68" s="163"/>
      <c r="J68" s="163"/>
      <c r="K68" s="163"/>
      <c r="L68" s="164"/>
    </row>
    <row r="69" spans="1:12" ht="15" customHeight="1" x14ac:dyDescent="0.25">
      <c r="A69" s="143" t="s">
        <v>107</v>
      </c>
      <c r="B69" s="144"/>
      <c r="C69" s="145" t="s">
        <v>15</v>
      </c>
      <c r="D69" s="146"/>
      <c r="E69" s="147"/>
      <c r="F69" s="9">
        <v>200</v>
      </c>
      <c r="G69" s="10">
        <f>28.99/1000*200</f>
        <v>5.798</v>
      </c>
      <c r="H69" s="10">
        <f>27.39/1000*200</f>
        <v>5.4780000000000006</v>
      </c>
      <c r="I69" s="10">
        <f>92.86/1000*200</f>
        <v>18.571999999999999</v>
      </c>
      <c r="J69" s="10">
        <f>737/1000*200</f>
        <v>147.4</v>
      </c>
      <c r="K69" s="11">
        <f>4.55/1000*200</f>
        <v>0.91</v>
      </c>
      <c r="L69" s="12">
        <v>94</v>
      </c>
    </row>
    <row r="70" spans="1:12" x14ac:dyDescent="0.25">
      <c r="A70" s="125"/>
      <c r="B70" s="127"/>
      <c r="C70" s="125" t="s">
        <v>126</v>
      </c>
      <c r="D70" s="126"/>
      <c r="E70" s="127"/>
      <c r="F70" s="9">
        <v>45</v>
      </c>
      <c r="G70" s="10">
        <v>4.79</v>
      </c>
      <c r="H70" s="10">
        <v>6.32</v>
      </c>
      <c r="I70" s="10">
        <v>14.56</v>
      </c>
      <c r="J70" s="10">
        <v>134</v>
      </c>
      <c r="K70" s="11">
        <v>0.08</v>
      </c>
      <c r="L70" s="12">
        <v>3</v>
      </c>
    </row>
    <row r="71" spans="1:12" x14ac:dyDescent="0.25">
      <c r="A71" s="125"/>
      <c r="B71" s="127"/>
      <c r="C71" s="125" t="s">
        <v>166</v>
      </c>
      <c r="D71" s="126"/>
      <c r="E71" s="127"/>
      <c r="F71" s="9">
        <v>150</v>
      </c>
      <c r="G71" s="10">
        <v>2.65</v>
      </c>
      <c r="H71" s="10">
        <v>2.33</v>
      </c>
      <c r="I71" s="10">
        <v>11.31</v>
      </c>
      <c r="J71" s="10">
        <v>77</v>
      </c>
      <c r="K71" s="11">
        <v>1.19</v>
      </c>
      <c r="L71" s="9">
        <v>394</v>
      </c>
    </row>
    <row r="72" spans="1:12" x14ac:dyDescent="0.25">
      <c r="A72" s="125" t="s">
        <v>91</v>
      </c>
      <c r="B72" s="127"/>
      <c r="C72" s="159" t="s">
        <v>75</v>
      </c>
      <c r="D72" s="160"/>
      <c r="E72" s="161"/>
      <c r="F72" s="9">
        <v>150</v>
      </c>
      <c r="G72" s="10">
        <v>4.58</v>
      </c>
      <c r="H72" s="10">
        <v>4.08</v>
      </c>
      <c r="I72" s="10">
        <v>7.58</v>
      </c>
      <c r="J72" s="10">
        <v>85</v>
      </c>
      <c r="K72" s="11">
        <v>2.0499999999999998</v>
      </c>
      <c r="L72" s="13">
        <v>400</v>
      </c>
    </row>
    <row r="73" spans="1:12" ht="15" customHeight="1" x14ac:dyDescent="0.25">
      <c r="A73" s="125"/>
      <c r="B73" s="127"/>
      <c r="C73" s="149" t="s">
        <v>216</v>
      </c>
      <c r="D73" s="150"/>
      <c r="E73" s="151"/>
      <c r="F73" s="9">
        <v>150</v>
      </c>
      <c r="G73" s="10">
        <v>4.5</v>
      </c>
      <c r="H73" s="10">
        <v>1.5</v>
      </c>
      <c r="I73" s="10">
        <v>6</v>
      </c>
      <c r="J73" s="10">
        <v>56</v>
      </c>
      <c r="K73" s="11">
        <v>1.2</v>
      </c>
      <c r="L73" s="9">
        <v>401</v>
      </c>
    </row>
    <row r="74" spans="1:12" ht="15" customHeight="1" x14ac:dyDescent="0.25">
      <c r="A74" s="125" t="s">
        <v>90</v>
      </c>
      <c r="B74" s="127"/>
      <c r="C74" s="145" t="s">
        <v>42</v>
      </c>
      <c r="D74" s="146"/>
      <c r="E74" s="147"/>
      <c r="F74" s="21">
        <v>200</v>
      </c>
      <c r="G74" s="22">
        <f>11.18/1000*200</f>
        <v>2.2359999999999998</v>
      </c>
      <c r="H74" s="22">
        <f>13.14/1000*200</f>
        <v>2.6280000000000001</v>
      </c>
      <c r="I74" s="22">
        <f>51.22/1000*200</f>
        <v>10.244</v>
      </c>
      <c r="J74" s="22">
        <f>368/1000*200</f>
        <v>73.599999999999994</v>
      </c>
      <c r="K74" s="23">
        <f>27.48/1000*200</f>
        <v>5.4960000000000004</v>
      </c>
      <c r="L74" s="21">
        <v>74</v>
      </c>
    </row>
    <row r="75" spans="1:12" ht="15" customHeight="1" x14ac:dyDescent="0.25">
      <c r="A75" s="125"/>
      <c r="B75" s="127"/>
      <c r="C75" s="125" t="s">
        <v>131</v>
      </c>
      <c r="D75" s="126"/>
      <c r="E75" s="127"/>
      <c r="F75" s="9">
        <v>40</v>
      </c>
      <c r="G75" s="10">
        <f>69.57/1000*40</f>
        <v>2.7827999999999999</v>
      </c>
      <c r="H75" s="10">
        <f>24.32/1000*40</f>
        <v>0.97280000000000011</v>
      </c>
      <c r="I75" s="10">
        <f>479.32/1000*40</f>
        <v>19.172799999999999</v>
      </c>
      <c r="J75" s="10">
        <f>2414/1000*40</f>
        <v>96.56</v>
      </c>
      <c r="K75" s="11">
        <v>0</v>
      </c>
      <c r="L75" s="9">
        <v>453</v>
      </c>
    </row>
    <row r="76" spans="1:12" ht="15" customHeight="1" x14ac:dyDescent="0.25">
      <c r="A76" s="125"/>
      <c r="B76" s="127"/>
      <c r="C76" s="145" t="s">
        <v>53</v>
      </c>
      <c r="D76" s="146"/>
      <c r="E76" s="147"/>
      <c r="F76" s="9">
        <v>120</v>
      </c>
      <c r="G76" s="10">
        <f>44/1000*120</f>
        <v>5.2799999999999994</v>
      </c>
      <c r="H76" s="10">
        <f>38.18/1000*120</f>
        <v>4.5815999999999999</v>
      </c>
      <c r="I76" s="10">
        <f>252.55/1000*120</f>
        <v>30.306000000000001</v>
      </c>
      <c r="J76" s="10">
        <f>1530/1000*120</f>
        <v>183.6</v>
      </c>
      <c r="K76" s="11"/>
      <c r="L76" s="9">
        <v>313</v>
      </c>
    </row>
    <row r="77" spans="1:12" x14ac:dyDescent="0.25">
      <c r="A77" s="125"/>
      <c r="B77" s="127"/>
      <c r="C77" s="125" t="s">
        <v>36</v>
      </c>
      <c r="D77" s="126"/>
      <c r="E77" s="127"/>
      <c r="F77" s="9">
        <v>120</v>
      </c>
      <c r="G77" s="10">
        <v>8.14</v>
      </c>
      <c r="H77" s="10">
        <v>9.0399999999999991</v>
      </c>
      <c r="I77" s="10">
        <v>10.3</v>
      </c>
      <c r="J77" s="10">
        <v>55</v>
      </c>
      <c r="K77" s="11">
        <v>0.45</v>
      </c>
      <c r="L77" s="13">
        <v>287</v>
      </c>
    </row>
    <row r="78" spans="1:12" ht="15" customHeight="1" x14ac:dyDescent="0.25">
      <c r="A78" s="125"/>
      <c r="B78" s="127"/>
      <c r="C78" s="145" t="s">
        <v>27</v>
      </c>
      <c r="D78" s="146"/>
      <c r="E78" s="147"/>
      <c r="F78" s="9">
        <v>15</v>
      </c>
      <c r="G78" s="10">
        <f>20.56/1000*15</f>
        <v>0.30839999999999995</v>
      </c>
      <c r="H78" s="10">
        <f>52.42/1000*15</f>
        <v>0.7863</v>
      </c>
      <c r="I78" s="10">
        <f>70.92/1000*15</f>
        <v>1.0637999999999999</v>
      </c>
      <c r="J78" s="10">
        <f>830/1000*15</f>
        <v>12.45</v>
      </c>
      <c r="K78" s="11">
        <f>3.25/1000*15</f>
        <v>4.8749999999999995E-2</v>
      </c>
      <c r="L78" s="14">
        <v>350</v>
      </c>
    </row>
    <row r="79" spans="1:12" x14ac:dyDescent="0.25">
      <c r="A79" s="125"/>
      <c r="B79" s="127"/>
      <c r="C79" s="125" t="s">
        <v>57</v>
      </c>
      <c r="D79" s="126"/>
      <c r="E79" s="127"/>
      <c r="F79" s="9">
        <v>40</v>
      </c>
      <c r="G79" s="10">
        <f>13.5/1000*40</f>
        <v>0.54</v>
      </c>
      <c r="H79" s="10">
        <f>61.64/1000*40</f>
        <v>2.4656000000000002</v>
      </c>
      <c r="I79" s="10">
        <f>76.9/1000*40</f>
        <v>3.0760000000000005</v>
      </c>
      <c r="J79" s="10">
        <f>916/1000*40</f>
        <v>36.64</v>
      </c>
      <c r="K79" s="11">
        <f>132.5/1000*40</f>
        <v>5.3000000000000007</v>
      </c>
      <c r="L79" s="9">
        <v>45</v>
      </c>
    </row>
    <row r="80" spans="1:12" x14ac:dyDescent="0.25">
      <c r="A80" s="125"/>
      <c r="B80" s="127"/>
      <c r="C80" s="125" t="s">
        <v>169</v>
      </c>
      <c r="D80" s="126"/>
      <c r="E80" s="127"/>
      <c r="F80" s="9">
        <v>150</v>
      </c>
      <c r="G80" s="10">
        <f>2.2/1000*150</f>
        <v>0.33</v>
      </c>
      <c r="H80" s="10">
        <f>0.1/1000*150</f>
        <v>1.5000000000000001E-2</v>
      </c>
      <c r="I80" s="10">
        <f>138.84/1000*150</f>
        <v>20.825999999999997</v>
      </c>
      <c r="J80" s="10">
        <f>565/1000*150</f>
        <v>84.749999999999986</v>
      </c>
      <c r="K80" s="11">
        <f>2/1000*150</f>
        <v>0.3</v>
      </c>
      <c r="L80" s="14">
        <v>376</v>
      </c>
    </row>
    <row r="81" spans="1:12" x14ac:dyDescent="0.25">
      <c r="A81" s="125"/>
      <c r="B81" s="127"/>
      <c r="C81" s="125" t="s">
        <v>145</v>
      </c>
      <c r="D81" s="126"/>
      <c r="E81" s="127"/>
      <c r="F81" s="103">
        <v>50</v>
      </c>
      <c r="G81" s="104">
        <v>4.24</v>
      </c>
      <c r="H81" s="104">
        <v>8.7100000000000009</v>
      </c>
      <c r="I81" s="104">
        <v>29.52</v>
      </c>
      <c r="J81" s="104">
        <v>213</v>
      </c>
      <c r="K81" s="105">
        <v>7.0000000000000007E-2</v>
      </c>
      <c r="L81" s="107">
        <v>492</v>
      </c>
    </row>
    <row r="82" spans="1:12" ht="15" customHeight="1" x14ac:dyDescent="0.25">
      <c r="A82" s="132" t="s">
        <v>89</v>
      </c>
      <c r="B82" s="134"/>
      <c r="C82" s="145" t="s">
        <v>217</v>
      </c>
      <c r="D82" s="146"/>
      <c r="E82" s="147"/>
      <c r="F82" s="103">
        <v>220</v>
      </c>
      <c r="G82" s="104">
        <v>27.53</v>
      </c>
      <c r="H82" s="104">
        <v>7.47</v>
      </c>
      <c r="I82" s="104">
        <v>21.95</v>
      </c>
      <c r="J82" s="104">
        <v>265</v>
      </c>
      <c r="K82" s="105">
        <v>8.9700000000000006</v>
      </c>
      <c r="L82" s="106">
        <v>276</v>
      </c>
    </row>
    <row r="83" spans="1:12" ht="15" customHeight="1" x14ac:dyDescent="0.25">
      <c r="A83" s="125"/>
      <c r="B83" s="127"/>
      <c r="C83" s="125" t="s">
        <v>133</v>
      </c>
      <c r="D83" s="126"/>
      <c r="E83" s="127"/>
      <c r="F83" s="9">
        <v>40</v>
      </c>
      <c r="G83" s="10">
        <f>69.57/1000*40</f>
        <v>2.7827999999999999</v>
      </c>
      <c r="H83" s="10">
        <f>24.32/1000*40</f>
        <v>0.97280000000000011</v>
      </c>
      <c r="I83" s="10">
        <f>479.32/1000*40</f>
        <v>19.172799999999999</v>
      </c>
      <c r="J83" s="10">
        <f>2414/1000*40</f>
        <v>96.56</v>
      </c>
      <c r="K83" s="11">
        <v>0</v>
      </c>
      <c r="L83" s="9">
        <v>453</v>
      </c>
    </row>
    <row r="84" spans="1:12" x14ac:dyDescent="0.25">
      <c r="A84" s="125"/>
      <c r="B84" s="127"/>
      <c r="C84" s="145" t="s">
        <v>164</v>
      </c>
      <c r="D84" s="146"/>
      <c r="E84" s="147"/>
      <c r="F84" s="9">
        <v>150</v>
      </c>
      <c r="G84" s="10">
        <v>3.15</v>
      </c>
      <c r="H84" s="10">
        <v>2.72</v>
      </c>
      <c r="I84" s="10">
        <v>12.96</v>
      </c>
      <c r="J84" s="10">
        <v>89</v>
      </c>
      <c r="K84" s="11">
        <v>1.2</v>
      </c>
      <c r="L84" s="9">
        <v>397</v>
      </c>
    </row>
    <row r="85" spans="1:12" ht="15" customHeight="1" x14ac:dyDescent="0.25">
      <c r="A85" s="128"/>
      <c r="B85" s="129"/>
      <c r="C85" s="125" t="s">
        <v>256</v>
      </c>
      <c r="D85" s="126"/>
      <c r="E85" s="127"/>
      <c r="F85" s="9">
        <v>50</v>
      </c>
      <c r="G85" s="10">
        <v>4.24</v>
      </c>
      <c r="H85" s="10">
        <v>8.7100000000000009</v>
      </c>
      <c r="I85" s="10">
        <v>29.52</v>
      </c>
      <c r="J85" s="10">
        <v>213</v>
      </c>
      <c r="K85" s="11">
        <v>7.0000000000000007E-2</v>
      </c>
      <c r="L85" s="99">
        <v>492</v>
      </c>
    </row>
    <row r="86" spans="1:12" ht="15" customHeight="1" x14ac:dyDescent="0.25">
      <c r="A86" s="152" t="s">
        <v>112</v>
      </c>
      <c r="B86" s="153"/>
      <c r="C86" s="154"/>
      <c r="D86" s="155"/>
      <c r="E86" s="156"/>
      <c r="F86" s="15">
        <f>SUM(F69:F85)</f>
        <v>1890</v>
      </c>
      <c r="G86" s="16">
        <f>SUM(G69:G85)</f>
        <v>83.878</v>
      </c>
      <c r="H86" s="16">
        <f>SUM(H69:H85)</f>
        <v>68.780100000000004</v>
      </c>
      <c r="I86" s="16">
        <f>SUM(I69:I85)</f>
        <v>266.13339999999994</v>
      </c>
      <c r="J86" s="16">
        <f>SUM(J69:J85)</f>
        <v>1918.56</v>
      </c>
      <c r="K86" s="17">
        <f>SUM(K77:K85)</f>
        <v>16.408750000000001</v>
      </c>
      <c r="L86" s="15"/>
    </row>
    <row r="87" spans="1:12" ht="15" customHeight="1" x14ac:dyDescent="0.25">
      <c r="A87" s="157" t="s">
        <v>146</v>
      </c>
      <c r="B87" s="158"/>
      <c r="C87" s="162" t="s">
        <v>147</v>
      </c>
      <c r="D87" s="163"/>
      <c r="E87" s="163"/>
      <c r="F87" s="163"/>
      <c r="G87" s="163"/>
      <c r="H87" s="163"/>
      <c r="I87" s="163"/>
      <c r="J87" s="163"/>
      <c r="K87" s="163"/>
      <c r="L87" s="164"/>
    </row>
    <row r="88" spans="1:12" ht="15" customHeight="1" x14ac:dyDescent="0.25">
      <c r="A88" s="125" t="s">
        <v>92</v>
      </c>
      <c r="B88" s="127"/>
      <c r="C88" s="145" t="s">
        <v>16</v>
      </c>
      <c r="D88" s="146"/>
      <c r="E88" s="147"/>
      <c r="F88" s="99">
        <v>200</v>
      </c>
      <c r="G88" s="100">
        <v>13.7</v>
      </c>
      <c r="H88" s="100">
        <v>10.16</v>
      </c>
      <c r="I88" s="100">
        <v>33.14</v>
      </c>
      <c r="J88" s="100">
        <v>278.7</v>
      </c>
      <c r="K88" s="101">
        <v>19.36</v>
      </c>
      <c r="L88" s="99">
        <v>94</v>
      </c>
    </row>
    <row r="89" spans="1:12" x14ac:dyDescent="0.25">
      <c r="A89" s="125"/>
      <c r="B89" s="127"/>
      <c r="C89" s="125" t="s">
        <v>137</v>
      </c>
      <c r="D89" s="126"/>
      <c r="E89" s="127"/>
      <c r="F89" s="9">
        <v>55</v>
      </c>
      <c r="G89" s="10">
        <v>2.5099999999999998</v>
      </c>
      <c r="H89" s="10">
        <v>3.93</v>
      </c>
      <c r="I89" s="10">
        <v>28.88</v>
      </c>
      <c r="J89" s="10">
        <v>161</v>
      </c>
      <c r="K89" s="11">
        <v>0.48</v>
      </c>
      <c r="L89" s="12">
        <v>2</v>
      </c>
    </row>
    <row r="90" spans="1:12" x14ac:dyDescent="0.25">
      <c r="A90" s="125"/>
      <c r="B90" s="127"/>
      <c r="C90" s="145" t="s">
        <v>165</v>
      </c>
      <c r="D90" s="146"/>
      <c r="E90" s="147"/>
      <c r="F90" s="9">
        <v>150</v>
      </c>
      <c r="G90" s="10">
        <v>0.04</v>
      </c>
      <c r="H90" s="10">
        <v>0.01</v>
      </c>
      <c r="I90" s="10">
        <v>6.99</v>
      </c>
      <c r="J90" s="10">
        <v>28</v>
      </c>
      <c r="K90" s="11">
        <v>0.02</v>
      </c>
      <c r="L90" s="9">
        <v>392</v>
      </c>
    </row>
    <row r="91" spans="1:12" x14ac:dyDescent="0.25">
      <c r="A91" s="125" t="s">
        <v>91</v>
      </c>
      <c r="B91" s="127"/>
      <c r="C91" s="159" t="s">
        <v>76</v>
      </c>
      <c r="D91" s="160"/>
      <c r="E91" s="161"/>
      <c r="F91" s="9">
        <v>180</v>
      </c>
      <c r="G91" s="10">
        <v>1</v>
      </c>
      <c r="H91" s="10">
        <v>0</v>
      </c>
      <c r="I91" s="10">
        <v>25.4</v>
      </c>
      <c r="J91" s="10">
        <v>105.34</v>
      </c>
      <c r="K91" s="11">
        <v>8</v>
      </c>
      <c r="L91" s="13">
        <v>399</v>
      </c>
    </row>
    <row r="92" spans="1:12" ht="15" customHeight="1" x14ac:dyDescent="0.25">
      <c r="A92" s="125"/>
      <c r="B92" s="127"/>
      <c r="C92" s="149" t="s">
        <v>124</v>
      </c>
      <c r="D92" s="150"/>
      <c r="E92" s="151"/>
      <c r="F92" s="9">
        <v>75</v>
      </c>
      <c r="G92" s="10">
        <v>0.52500000000000002</v>
      </c>
      <c r="H92" s="10">
        <v>0.1275</v>
      </c>
      <c r="I92" s="10">
        <v>16.3125</v>
      </c>
      <c r="J92" s="10">
        <v>68.4375</v>
      </c>
      <c r="K92" s="11">
        <v>9.84</v>
      </c>
      <c r="L92" s="9">
        <v>369</v>
      </c>
    </row>
    <row r="93" spans="1:12" ht="15" customHeight="1" x14ac:dyDescent="0.25">
      <c r="A93" s="125" t="s">
        <v>90</v>
      </c>
      <c r="B93" s="127"/>
      <c r="C93" s="145" t="s">
        <v>43</v>
      </c>
      <c r="D93" s="146"/>
      <c r="E93" s="147"/>
      <c r="F93" s="9">
        <v>200</v>
      </c>
      <c r="G93" s="10">
        <f>8.72/1000*200</f>
        <v>1.744</v>
      </c>
      <c r="H93" s="10">
        <f>11.37/1000*200</f>
        <v>2.274</v>
      </c>
      <c r="I93" s="10">
        <f>57.17/1000*200</f>
        <v>11.433999999999999</v>
      </c>
      <c r="J93" s="10">
        <f>366/1000*200</f>
        <v>73.2</v>
      </c>
      <c r="K93" s="11">
        <f>33/1000*200</f>
        <v>6.6000000000000005</v>
      </c>
      <c r="L93" s="9">
        <v>80</v>
      </c>
    </row>
    <row r="94" spans="1:12" ht="15" customHeight="1" x14ac:dyDescent="0.25">
      <c r="A94" s="125"/>
      <c r="B94" s="127"/>
      <c r="C94" s="125" t="s">
        <v>131</v>
      </c>
      <c r="D94" s="126"/>
      <c r="E94" s="127"/>
      <c r="F94" s="9">
        <v>40</v>
      </c>
      <c r="G94" s="10">
        <f>69.57/1000*40</f>
        <v>2.7827999999999999</v>
      </c>
      <c r="H94" s="10">
        <f>24.32/1000*40</f>
        <v>0.97280000000000011</v>
      </c>
      <c r="I94" s="10">
        <f>479.32/1000*40</f>
        <v>19.172799999999999</v>
      </c>
      <c r="J94" s="10">
        <f>2414/1000*40</f>
        <v>96.56</v>
      </c>
      <c r="K94" s="11">
        <v>0</v>
      </c>
      <c r="L94" s="9">
        <v>453</v>
      </c>
    </row>
    <row r="95" spans="1:12" x14ac:dyDescent="0.25">
      <c r="A95" s="125"/>
      <c r="B95" s="127"/>
      <c r="C95" s="125" t="s">
        <v>28</v>
      </c>
      <c r="D95" s="126"/>
      <c r="E95" s="127"/>
      <c r="F95" s="9">
        <v>120</v>
      </c>
      <c r="G95" s="10">
        <f>20.43/1000*120</f>
        <v>2.4516</v>
      </c>
      <c r="H95" s="10">
        <f>32.01/1000*120</f>
        <v>3.8411999999999997</v>
      </c>
      <c r="I95" s="10">
        <f>136.26/1000*120</f>
        <v>16.351199999999999</v>
      </c>
      <c r="J95" s="10">
        <f>915/1000*120</f>
        <v>109.80000000000001</v>
      </c>
      <c r="K95" s="11">
        <f>121.07/1000*120</f>
        <v>14.5284</v>
      </c>
      <c r="L95" s="13">
        <v>321</v>
      </c>
    </row>
    <row r="96" spans="1:12" ht="15" customHeight="1" x14ac:dyDescent="0.25">
      <c r="A96" s="125"/>
      <c r="B96" s="127"/>
      <c r="C96" s="145" t="s">
        <v>180</v>
      </c>
      <c r="D96" s="146"/>
      <c r="E96" s="147"/>
      <c r="F96" s="9">
        <v>60</v>
      </c>
      <c r="G96" s="10">
        <v>8.09</v>
      </c>
      <c r="H96" s="10">
        <v>2.54</v>
      </c>
      <c r="I96" s="10">
        <v>6.41</v>
      </c>
      <c r="J96" s="10">
        <v>81</v>
      </c>
      <c r="K96" s="11">
        <v>2.08</v>
      </c>
      <c r="L96" s="9">
        <v>256</v>
      </c>
    </row>
    <row r="97" spans="1:12" ht="15" customHeight="1" x14ac:dyDescent="0.25">
      <c r="A97" s="125"/>
      <c r="B97" s="127"/>
      <c r="C97" s="145" t="s">
        <v>272</v>
      </c>
      <c r="D97" s="146"/>
      <c r="E97" s="147"/>
      <c r="F97" s="99">
        <v>15</v>
      </c>
      <c r="G97" s="100">
        <f>20.56/1000*15</f>
        <v>0.30839999999999995</v>
      </c>
      <c r="H97" s="100">
        <f>52.42/1000*15</f>
        <v>0.7863</v>
      </c>
      <c r="I97" s="100">
        <f>70.92/1000*15</f>
        <v>1.0637999999999999</v>
      </c>
      <c r="J97" s="100">
        <f>830/1000*15</f>
        <v>12.45</v>
      </c>
      <c r="K97" s="101">
        <f>3.25/1000*15</f>
        <v>4.8749999999999995E-2</v>
      </c>
      <c r="L97" s="102">
        <v>350</v>
      </c>
    </row>
    <row r="98" spans="1:12" x14ac:dyDescent="0.25">
      <c r="A98" s="125"/>
      <c r="B98" s="127"/>
      <c r="C98" s="125" t="s">
        <v>273</v>
      </c>
      <c r="D98" s="126"/>
      <c r="E98" s="127"/>
      <c r="F98" s="99">
        <v>40</v>
      </c>
      <c r="G98" s="100">
        <f>14.75/1000*40</f>
        <v>0.59</v>
      </c>
      <c r="H98" s="100">
        <f>51.7/1000*40</f>
        <v>2.0680000000000001</v>
      </c>
      <c r="I98" s="100">
        <f>210.11/1000*40</f>
        <v>8.4044000000000008</v>
      </c>
      <c r="J98" s="100">
        <f>1365/1000*40</f>
        <v>54.6</v>
      </c>
      <c r="K98" s="101">
        <f>37.5/1000*40</f>
        <v>1.5</v>
      </c>
      <c r="L98" s="99">
        <v>44</v>
      </c>
    </row>
    <row r="99" spans="1:12" ht="15" customHeight="1" x14ac:dyDescent="0.25">
      <c r="A99" s="125"/>
      <c r="B99" s="127"/>
      <c r="C99" s="145" t="s">
        <v>279</v>
      </c>
      <c r="D99" s="146"/>
      <c r="E99" s="147"/>
      <c r="F99" s="9">
        <v>150</v>
      </c>
      <c r="G99" s="10">
        <f>2.2/1000*150</f>
        <v>0.33</v>
      </c>
      <c r="H99" s="10">
        <f>0.1/1000*150</f>
        <v>1.5000000000000001E-2</v>
      </c>
      <c r="I99" s="10">
        <f>138.84/1000*150</f>
        <v>20.825999999999997</v>
      </c>
      <c r="J99" s="10">
        <f>565/1000*150</f>
        <v>84.749999999999986</v>
      </c>
      <c r="K99" s="11">
        <f>2/1000*150</f>
        <v>0.3</v>
      </c>
      <c r="L99" s="14">
        <v>376</v>
      </c>
    </row>
    <row r="100" spans="1:12" ht="15" customHeight="1" x14ac:dyDescent="0.25">
      <c r="A100" s="125"/>
      <c r="B100" s="127"/>
      <c r="C100" s="145" t="s">
        <v>11</v>
      </c>
      <c r="D100" s="146"/>
      <c r="E100" s="147"/>
      <c r="F100" s="9">
        <v>50</v>
      </c>
      <c r="G100" s="10">
        <v>4.24</v>
      </c>
      <c r="H100" s="10">
        <v>8.7100000000000009</v>
      </c>
      <c r="I100" s="10">
        <v>29.52</v>
      </c>
      <c r="J100" s="10">
        <v>213</v>
      </c>
      <c r="K100" s="11">
        <v>7.0000000000000007E-2</v>
      </c>
      <c r="L100" s="14">
        <v>492</v>
      </c>
    </row>
    <row r="101" spans="1:12" x14ac:dyDescent="0.25">
      <c r="A101" s="125" t="s">
        <v>89</v>
      </c>
      <c r="B101" s="127"/>
      <c r="C101" s="125" t="s">
        <v>277</v>
      </c>
      <c r="D101" s="126"/>
      <c r="E101" s="127"/>
      <c r="F101" s="9">
        <v>150</v>
      </c>
      <c r="G101" s="10">
        <v>6.61</v>
      </c>
      <c r="H101" s="10">
        <v>4.78</v>
      </c>
      <c r="I101" s="10">
        <v>41.4</v>
      </c>
      <c r="J101" s="10">
        <v>235</v>
      </c>
      <c r="K101" s="11">
        <v>0.49</v>
      </c>
      <c r="L101" s="12">
        <v>188</v>
      </c>
    </row>
    <row r="102" spans="1:12" ht="15" customHeight="1" x14ac:dyDescent="0.25">
      <c r="A102" s="125"/>
      <c r="B102" s="127"/>
      <c r="C102" s="125" t="s">
        <v>133</v>
      </c>
      <c r="D102" s="126"/>
      <c r="E102" s="127"/>
      <c r="F102" s="9">
        <v>40</v>
      </c>
      <c r="G102" s="10">
        <f>69.57/1000*40</f>
        <v>2.7827999999999999</v>
      </c>
      <c r="H102" s="10">
        <f>24.32/1000*40</f>
        <v>0.97280000000000011</v>
      </c>
      <c r="I102" s="10">
        <f>479.32/1000*40</f>
        <v>19.172799999999999</v>
      </c>
      <c r="J102" s="10">
        <f>2414/1000*40</f>
        <v>96.56</v>
      </c>
      <c r="K102" s="11">
        <v>0</v>
      </c>
      <c r="L102" s="9">
        <v>453</v>
      </c>
    </row>
    <row r="103" spans="1:12" x14ac:dyDescent="0.25">
      <c r="A103" s="125"/>
      <c r="B103" s="127"/>
      <c r="C103" s="125" t="s">
        <v>82</v>
      </c>
      <c r="D103" s="126"/>
      <c r="E103" s="127"/>
      <c r="F103" s="9">
        <v>150</v>
      </c>
      <c r="G103" s="10">
        <v>0.04</v>
      </c>
      <c r="H103" s="10">
        <v>0.01</v>
      </c>
      <c r="I103" s="10">
        <v>6.99</v>
      </c>
      <c r="J103" s="10">
        <v>28</v>
      </c>
      <c r="K103" s="11">
        <v>0.02</v>
      </c>
      <c r="L103" s="9">
        <v>392</v>
      </c>
    </row>
    <row r="104" spans="1:12" x14ac:dyDescent="0.25">
      <c r="A104" s="125"/>
      <c r="B104" s="127"/>
      <c r="C104" s="125" t="s">
        <v>280</v>
      </c>
      <c r="D104" s="126"/>
      <c r="E104" s="127"/>
      <c r="F104" s="9"/>
      <c r="G104" s="10"/>
      <c r="H104" s="10"/>
      <c r="I104" s="10"/>
      <c r="J104" s="10"/>
      <c r="K104" s="11"/>
      <c r="L104" s="9"/>
    </row>
    <row r="105" spans="1:12" ht="15" customHeight="1" x14ac:dyDescent="0.25">
      <c r="A105" s="152" t="s">
        <v>113</v>
      </c>
      <c r="B105" s="153"/>
      <c r="C105" s="154"/>
      <c r="D105" s="155"/>
      <c r="E105" s="156"/>
      <c r="F105" s="15">
        <f t="shared" ref="F105:K105" si="3">SUM(F88:F104)</f>
        <v>1675</v>
      </c>
      <c r="G105" s="16">
        <f t="shared" si="3"/>
        <v>47.744600000000005</v>
      </c>
      <c r="H105" s="16">
        <f t="shared" si="3"/>
        <v>41.197600000000001</v>
      </c>
      <c r="I105" s="16">
        <f t="shared" si="3"/>
        <v>291.46749999999997</v>
      </c>
      <c r="J105" s="16">
        <f t="shared" si="3"/>
        <v>1726.3974999999998</v>
      </c>
      <c r="K105" s="17">
        <f t="shared" si="3"/>
        <v>63.337150000000001</v>
      </c>
      <c r="L105" s="15"/>
    </row>
    <row r="106" spans="1:12" ht="15" customHeight="1" x14ac:dyDescent="0.25">
      <c r="A106" s="157" t="s">
        <v>149</v>
      </c>
      <c r="B106" s="158"/>
      <c r="C106" s="162" t="s">
        <v>139</v>
      </c>
      <c r="D106" s="163"/>
      <c r="E106" s="163"/>
      <c r="F106" s="163"/>
      <c r="G106" s="163"/>
      <c r="H106" s="163"/>
      <c r="I106" s="163"/>
      <c r="J106" s="163"/>
      <c r="K106" s="163"/>
      <c r="L106" s="164"/>
    </row>
    <row r="107" spans="1:12" x14ac:dyDescent="0.25">
      <c r="A107" s="125" t="s">
        <v>92</v>
      </c>
      <c r="B107" s="127"/>
      <c r="C107" s="125" t="s">
        <v>19</v>
      </c>
      <c r="D107" s="126"/>
      <c r="E107" s="127"/>
      <c r="F107" s="9">
        <v>200</v>
      </c>
      <c r="G107" s="104">
        <v>6</v>
      </c>
      <c r="H107" s="104">
        <v>8.1999999999999993</v>
      </c>
      <c r="I107" s="104">
        <v>29.3</v>
      </c>
      <c r="J107" s="104">
        <v>215</v>
      </c>
      <c r="K107" s="105">
        <v>0.22</v>
      </c>
      <c r="L107" s="108">
        <v>94</v>
      </c>
    </row>
    <row r="108" spans="1:12" x14ac:dyDescent="0.25">
      <c r="A108" s="125"/>
      <c r="B108" s="127"/>
      <c r="C108" s="125" t="s">
        <v>126</v>
      </c>
      <c r="D108" s="126"/>
      <c r="E108" s="127"/>
      <c r="F108" s="9">
        <v>45</v>
      </c>
      <c r="G108" s="10">
        <v>4.79</v>
      </c>
      <c r="H108" s="10">
        <v>6.32</v>
      </c>
      <c r="I108" s="10">
        <v>14.56</v>
      </c>
      <c r="J108" s="10">
        <v>134</v>
      </c>
      <c r="K108" s="11">
        <v>0.08</v>
      </c>
      <c r="L108" s="12">
        <v>3</v>
      </c>
    </row>
    <row r="109" spans="1:12" ht="15" customHeight="1" x14ac:dyDescent="0.25">
      <c r="A109" s="125"/>
      <c r="B109" s="127"/>
      <c r="C109" s="145" t="s">
        <v>164</v>
      </c>
      <c r="D109" s="146"/>
      <c r="E109" s="147"/>
      <c r="F109" s="9">
        <v>150</v>
      </c>
      <c r="G109" s="10">
        <v>3.15</v>
      </c>
      <c r="H109" s="10">
        <v>2.72</v>
      </c>
      <c r="I109" s="10">
        <v>12.96</v>
      </c>
      <c r="J109" s="10">
        <v>89</v>
      </c>
      <c r="K109" s="11">
        <v>1.2</v>
      </c>
      <c r="L109" s="9">
        <v>397</v>
      </c>
    </row>
    <row r="110" spans="1:12" x14ac:dyDescent="0.25">
      <c r="A110" s="125" t="s">
        <v>91</v>
      </c>
      <c r="B110" s="127"/>
      <c r="C110" s="159" t="s">
        <v>76</v>
      </c>
      <c r="D110" s="160"/>
      <c r="E110" s="161"/>
      <c r="F110" s="9">
        <v>180</v>
      </c>
      <c r="G110" s="10">
        <v>0.9</v>
      </c>
      <c r="H110" s="10">
        <v>0</v>
      </c>
      <c r="I110" s="10">
        <v>18.18</v>
      </c>
      <c r="J110" s="10">
        <v>76.81</v>
      </c>
      <c r="K110" s="11">
        <v>3.6</v>
      </c>
      <c r="L110" s="13">
        <v>399</v>
      </c>
    </row>
    <row r="111" spans="1:12" ht="15" customHeight="1" x14ac:dyDescent="0.25">
      <c r="A111" s="125"/>
      <c r="B111" s="127"/>
      <c r="C111" s="145" t="s">
        <v>23</v>
      </c>
      <c r="D111" s="146"/>
      <c r="E111" s="147"/>
      <c r="F111" s="109">
        <v>100</v>
      </c>
      <c r="G111" s="104">
        <v>0.52500000000000002</v>
      </c>
      <c r="H111" s="104">
        <v>0.1275</v>
      </c>
      <c r="I111" s="104">
        <v>16.3125</v>
      </c>
      <c r="J111" s="104">
        <v>68.4375</v>
      </c>
      <c r="K111" s="105">
        <v>9.84</v>
      </c>
      <c r="L111" s="103">
        <v>369</v>
      </c>
    </row>
    <row r="112" spans="1:12" ht="15" customHeight="1" x14ac:dyDescent="0.25">
      <c r="A112" s="125" t="s">
        <v>90</v>
      </c>
      <c r="B112" s="127"/>
      <c r="C112" s="145" t="s">
        <v>46</v>
      </c>
      <c r="D112" s="146"/>
      <c r="E112" s="147"/>
      <c r="F112" s="9">
        <v>200</v>
      </c>
      <c r="G112" s="10">
        <f>26.54/1000*200</f>
        <v>5.3079999999999998</v>
      </c>
      <c r="H112" s="10">
        <f>20.72/1000*200</f>
        <v>4.1440000000000001</v>
      </c>
      <c r="I112" s="10">
        <f>61.77/1000*200</f>
        <v>12.354000000000001</v>
      </c>
      <c r="J112" s="10">
        <f>540/1000*200</f>
        <v>108</v>
      </c>
      <c r="K112" s="11">
        <f>44.8/1000*200</f>
        <v>8.9599999999999991</v>
      </c>
      <c r="L112" s="9">
        <v>83</v>
      </c>
    </row>
    <row r="113" spans="1:12" ht="15" customHeight="1" x14ac:dyDescent="0.25">
      <c r="A113" s="125"/>
      <c r="B113" s="127"/>
      <c r="C113" s="125" t="s">
        <v>131</v>
      </c>
      <c r="D113" s="126"/>
      <c r="E113" s="127"/>
      <c r="F113" s="9">
        <v>40</v>
      </c>
      <c r="G113" s="10">
        <f>69.57/1000*40</f>
        <v>2.7827999999999999</v>
      </c>
      <c r="H113" s="10">
        <f>24.32/1000*40</f>
        <v>0.97280000000000011</v>
      </c>
      <c r="I113" s="10">
        <f>479.32/1000*40</f>
        <v>19.172799999999999</v>
      </c>
      <c r="J113" s="10">
        <f>2414/1000*40</f>
        <v>96.56</v>
      </c>
      <c r="K113" s="11">
        <v>0</v>
      </c>
      <c r="L113" s="9">
        <v>453</v>
      </c>
    </row>
    <row r="114" spans="1:12" x14ac:dyDescent="0.25">
      <c r="A114" s="125"/>
      <c r="B114" s="127"/>
      <c r="C114" s="125" t="s">
        <v>55</v>
      </c>
      <c r="D114" s="126"/>
      <c r="E114" s="127"/>
      <c r="F114" s="9">
        <v>120</v>
      </c>
      <c r="G114" s="10">
        <f>44/1000*120</f>
        <v>5.2799999999999994</v>
      </c>
      <c r="H114" s="10">
        <f>38.18/1000*120</f>
        <v>4.5815999999999999</v>
      </c>
      <c r="I114" s="10">
        <f>252.55/1000*120</f>
        <v>30.306000000000001</v>
      </c>
      <c r="J114" s="10">
        <f>1530/1000*120</f>
        <v>183.6</v>
      </c>
      <c r="K114" s="11"/>
      <c r="L114" s="9">
        <v>313</v>
      </c>
    </row>
    <row r="115" spans="1:12" x14ac:dyDescent="0.25">
      <c r="A115" s="125"/>
      <c r="B115" s="127"/>
      <c r="C115" s="125" t="s">
        <v>281</v>
      </c>
      <c r="D115" s="126"/>
      <c r="E115" s="127"/>
      <c r="F115" s="9">
        <v>180</v>
      </c>
      <c r="G115" s="10">
        <v>909</v>
      </c>
      <c r="H115" s="10">
        <v>6.5</v>
      </c>
      <c r="I115" s="10">
        <v>16.489999999999998</v>
      </c>
      <c r="J115" s="10">
        <v>161</v>
      </c>
      <c r="K115" s="11">
        <v>7.34</v>
      </c>
      <c r="L115" s="9">
        <v>302</v>
      </c>
    </row>
    <row r="116" spans="1:12" x14ac:dyDescent="0.25">
      <c r="A116" s="125"/>
      <c r="B116" s="127"/>
      <c r="C116" s="125" t="s">
        <v>27</v>
      </c>
      <c r="D116" s="126"/>
      <c r="E116" s="127"/>
      <c r="F116" s="9">
        <v>15</v>
      </c>
      <c r="G116" s="10">
        <f>20.56/1000*15</f>
        <v>0.30839999999999995</v>
      </c>
      <c r="H116" s="10">
        <f>52.42/1000*15</f>
        <v>0.7863</v>
      </c>
      <c r="I116" s="10">
        <f>70.92/1000*15</f>
        <v>1.0637999999999999</v>
      </c>
      <c r="J116" s="10">
        <f>830/1000*15</f>
        <v>12.45</v>
      </c>
      <c r="K116" s="11">
        <f>3.25/1000*15</f>
        <v>4.8749999999999995E-2</v>
      </c>
      <c r="L116" s="14">
        <v>350</v>
      </c>
    </row>
    <row r="117" spans="1:12" x14ac:dyDescent="0.25">
      <c r="A117" s="125"/>
      <c r="B117" s="127"/>
      <c r="C117" s="125" t="s">
        <v>282</v>
      </c>
      <c r="D117" s="126"/>
      <c r="E117" s="127"/>
      <c r="F117" s="99">
        <v>40</v>
      </c>
      <c r="G117" s="100">
        <f>46.95/1000*40</f>
        <v>1.8780000000000001</v>
      </c>
      <c r="H117" s="100">
        <f>95.01/1000*40</f>
        <v>3.8004000000000007</v>
      </c>
      <c r="I117" s="100">
        <f>71.28/1000*40</f>
        <v>2.8512</v>
      </c>
      <c r="J117" s="100">
        <f>1328/1000*40</f>
        <v>53.120000000000005</v>
      </c>
      <c r="K117" s="101">
        <f>82.05/1000*40</f>
        <v>3.282</v>
      </c>
      <c r="L117" s="9">
        <v>33</v>
      </c>
    </row>
    <row r="118" spans="1:12" x14ac:dyDescent="0.25">
      <c r="A118" s="125"/>
      <c r="B118" s="127"/>
      <c r="C118" s="125" t="s">
        <v>171</v>
      </c>
      <c r="D118" s="126"/>
      <c r="E118" s="127"/>
      <c r="F118" s="9">
        <v>150</v>
      </c>
      <c r="G118" s="10">
        <f>2.2/1000*150</f>
        <v>0.33</v>
      </c>
      <c r="H118" s="10">
        <f>0.1/1000*150</f>
        <v>1.5000000000000001E-2</v>
      </c>
      <c r="I118" s="10">
        <f>138.84/1000*150</f>
        <v>20.825999999999997</v>
      </c>
      <c r="J118" s="10">
        <f>565/1000*150</f>
        <v>84.749999999999986</v>
      </c>
      <c r="K118" s="11">
        <f>2/1000*150</f>
        <v>0.3</v>
      </c>
      <c r="L118" s="14">
        <v>376</v>
      </c>
    </row>
    <row r="119" spans="1:12" ht="15" customHeight="1" x14ac:dyDescent="0.25">
      <c r="A119" s="125"/>
      <c r="B119" s="127"/>
      <c r="C119" s="145" t="s">
        <v>71</v>
      </c>
      <c r="D119" s="146"/>
      <c r="E119" s="147"/>
      <c r="F119" s="9">
        <v>50</v>
      </c>
      <c r="G119" s="10">
        <v>2.88</v>
      </c>
      <c r="H119" s="10">
        <v>1.17</v>
      </c>
      <c r="I119" s="10">
        <v>27.78</v>
      </c>
      <c r="J119" s="10">
        <v>133</v>
      </c>
      <c r="K119" s="11">
        <v>0.02</v>
      </c>
      <c r="L119" s="12">
        <v>454</v>
      </c>
    </row>
    <row r="120" spans="1:12" x14ac:dyDescent="0.25">
      <c r="A120" s="125" t="s">
        <v>89</v>
      </c>
      <c r="B120" s="127"/>
      <c r="C120" s="125" t="s">
        <v>291</v>
      </c>
      <c r="D120" s="126"/>
      <c r="E120" s="127"/>
      <c r="F120" s="99">
        <v>160</v>
      </c>
      <c r="G120" s="100">
        <v>15.12</v>
      </c>
      <c r="H120" s="100">
        <v>12.76</v>
      </c>
      <c r="I120" s="100">
        <v>26.76</v>
      </c>
      <c r="J120" s="100">
        <v>282</v>
      </c>
      <c r="K120" s="101">
        <v>0.41</v>
      </c>
      <c r="L120" s="9">
        <v>292</v>
      </c>
    </row>
    <row r="121" spans="1:12" ht="15" customHeight="1" x14ac:dyDescent="0.25">
      <c r="A121" s="125"/>
      <c r="B121" s="127"/>
      <c r="C121" s="125" t="s">
        <v>133</v>
      </c>
      <c r="D121" s="126"/>
      <c r="E121" s="127"/>
      <c r="F121" s="9">
        <v>40</v>
      </c>
      <c r="G121" s="10">
        <f>69.57/1000*40</f>
        <v>2.7827999999999999</v>
      </c>
      <c r="H121" s="10">
        <f>24.32/1000*40</f>
        <v>0.97280000000000011</v>
      </c>
      <c r="I121" s="10">
        <f>479.32/1000*40</f>
        <v>19.172799999999999</v>
      </c>
      <c r="J121" s="10">
        <f>2414/1000*40</f>
        <v>96.56</v>
      </c>
      <c r="K121" s="11">
        <v>0</v>
      </c>
      <c r="L121" s="9">
        <v>453</v>
      </c>
    </row>
    <row r="122" spans="1:12" x14ac:dyDescent="0.25">
      <c r="A122" s="125"/>
      <c r="B122" s="127"/>
      <c r="C122" s="125" t="s">
        <v>254</v>
      </c>
      <c r="D122" s="126"/>
      <c r="E122" s="127"/>
      <c r="F122" s="9">
        <v>150</v>
      </c>
      <c r="G122" s="10">
        <v>0.14000000000000001</v>
      </c>
      <c r="H122" s="10">
        <v>0.01</v>
      </c>
      <c r="I122" s="10">
        <v>9.6199999999999992</v>
      </c>
      <c r="J122" s="10">
        <v>39</v>
      </c>
      <c r="K122" s="11">
        <v>0.02</v>
      </c>
      <c r="L122" s="9">
        <v>392</v>
      </c>
    </row>
    <row r="123" spans="1:12" ht="15" customHeight="1" x14ac:dyDescent="0.25">
      <c r="A123" s="96"/>
      <c r="B123" s="97"/>
      <c r="C123" s="125" t="s">
        <v>290</v>
      </c>
      <c r="D123" s="126"/>
      <c r="E123" s="127"/>
      <c r="F123" s="9"/>
      <c r="G123" s="10"/>
      <c r="H123" s="10"/>
      <c r="I123" s="10"/>
      <c r="J123" s="10"/>
      <c r="K123" s="11"/>
      <c r="L123" s="9"/>
    </row>
    <row r="124" spans="1:12" ht="15" customHeight="1" x14ac:dyDescent="0.25">
      <c r="A124" s="152" t="s">
        <v>114</v>
      </c>
      <c r="B124" s="153"/>
      <c r="C124" s="154"/>
      <c r="D124" s="155"/>
      <c r="E124" s="156"/>
      <c r="F124" s="15">
        <f t="shared" ref="F124:K124" si="4">SUM(F107:F123)</f>
        <v>1820</v>
      </c>
      <c r="G124" s="16">
        <f t="shared" si="4"/>
        <v>961.17500000000007</v>
      </c>
      <c r="H124" s="16">
        <f t="shared" si="4"/>
        <v>53.080399999999997</v>
      </c>
      <c r="I124" s="16">
        <f t="shared" si="4"/>
        <v>277.70909999999998</v>
      </c>
      <c r="J124" s="16">
        <f t="shared" si="4"/>
        <v>1833.2874999999999</v>
      </c>
      <c r="K124" s="17">
        <f t="shared" si="4"/>
        <v>35.320749999999997</v>
      </c>
      <c r="L124" s="15"/>
    </row>
    <row r="125" spans="1:12" ht="15" customHeight="1" x14ac:dyDescent="0.25">
      <c r="A125" s="157" t="s">
        <v>150</v>
      </c>
      <c r="B125" s="158"/>
      <c r="C125" s="162" t="s">
        <v>140</v>
      </c>
      <c r="D125" s="163"/>
      <c r="E125" s="163"/>
      <c r="F125" s="163"/>
      <c r="G125" s="163"/>
      <c r="H125" s="163"/>
      <c r="I125" s="163"/>
      <c r="J125" s="163"/>
      <c r="K125" s="163"/>
      <c r="L125" s="164"/>
    </row>
    <row r="126" spans="1:12" x14ac:dyDescent="0.25">
      <c r="A126" s="125" t="s">
        <v>92</v>
      </c>
      <c r="B126" s="127"/>
      <c r="C126" s="125" t="s">
        <v>292</v>
      </c>
      <c r="D126" s="126"/>
      <c r="E126" s="127"/>
      <c r="F126" s="99">
        <v>65</v>
      </c>
      <c r="G126" s="100">
        <v>4.57</v>
      </c>
      <c r="H126" s="100">
        <v>9.5</v>
      </c>
      <c r="I126" s="100">
        <v>3.79</v>
      </c>
      <c r="J126" s="100">
        <v>119</v>
      </c>
      <c r="K126" s="101">
        <v>0.5</v>
      </c>
      <c r="L126" s="14">
        <v>93</v>
      </c>
    </row>
    <row r="127" spans="1:12" x14ac:dyDescent="0.25">
      <c r="A127" s="125"/>
      <c r="B127" s="127"/>
      <c r="C127" s="125" t="s">
        <v>134</v>
      </c>
      <c r="D127" s="126"/>
      <c r="E127" s="127"/>
      <c r="F127" s="9">
        <v>40</v>
      </c>
      <c r="G127" s="10">
        <v>2.4500000000000002</v>
      </c>
      <c r="H127" s="10">
        <v>7.55</v>
      </c>
      <c r="I127" s="10">
        <v>14.62</v>
      </c>
      <c r="J127" s="10">
        <v>136</v>
      </c>
      <c r="K127" s="11">
        <v>0</v>
      </c>
      <c r="L127" s="12">
        <v>1</v>
      </c>
    </row>
    <row r="128" spans="1:12" x14ac:dyDescent="0.25">
      <c r="A128" s="125"/>
      <c r="B128" s="127"/>
      <c r="C128" s="125" t="s">
        <v>174</v>
      </c>
      <c r="D128" s="126"/>
      <c r="E128" s="127"/>
      <c r="F128" s="9">
        <v>40</v>
      </c>
      <c r="G128" s="10">
        <v>5.12</v>
      </c>
      <c r="H128" s="10">
        <v>8.8800000000000008</v>
      </c>
      <c r="I128" s="10">
        <v>0.6</v>
      </c>
      <c r="J128" s="10">
        <v>103</v>
      </c>
      <c r="K128" s="11">
        <v>0</v>
      </c>
      <c r="L128" s="12">
        <v>9</v>
      </c>
    </row>
    <row r="129" spans="1:12" ht="15" customHeight="1" x14ac:dyDescent="0.25">
      <c r="A129" s="125"/>
      <c r="B129" s="127"/>
      <c r="C129" s="145" t="s">
        <v>165</v>
      </c>
      <c r="D129" s="146"/>
      <c r="E129" s="147"/>
      <c r="F129" s="9">
        <v>150</v>
      </c>
      <c r="G129" s="10">
        <v>0.04</v>
      </c>
      <c r="H129" s="10">
        <v>0.01</v>
      </c>
      <c r="I129" s="10">
        <v>6.99</v>
      </c>
      <c r="J129" s="10">
        <v>28</v>
      </c>
      <c r="K129" s="11">
        <v>0.02</v>
      </c>
      <c r="L129" s="9">
        <v>392</v>
      </c>
    </row>
    <row r="130" spans="1:12" x14ac:dyDescent="0.25">
      <c r="A130" s="125" t="s">
        <v>91</v>
      </c>
      <c r="B130" s="127"/>
      <c r="C130" s="159" t="s">
        <v>75</v>
      </c>
      <c r="D130" s="160"/>
      <c r="E130" s="161"/>
      <c r="F130" s="9">
        <v>150</v>
      </c>
      <c r="G130" s="10">
        <v>4.58</v>
      </c>
      <c r="H130" s="10">
        <v>4.08</v>
      </c>
      <c r="I130" s="10">
        <v>7.58</v>
      </c>
      <c r="J130" s="10">
        <v>85</v>
      </c>
      <c r="K130" s="11">
        <v>2.0499999999999998</v>
      </c>
      <c r="L130" s="13">
        <v>400</v>
      </c>
    </row>
    <row r="131" spans="1:12" ht="15" customHeight="1" x14ac:dyDescent="0.25">
      <c r="A131" s="125"/>
      <c r="B131" s="127"/>
      <c r="C131" s="149" t="s">
        <v>218</v>
      </c>
      <c r="D131" s="150"/>
      <c r="E131" s="151"/>
      <c r="F131" s="9">
        <v>150</v>
      </c>
      <c r="G131" s="10">
        <v>4.5</v>
      </c>
      <c r="H131" s="10">
        <v>1.5</v>
      </c>
      <c r="I131" s="10">
        <v>6</v>
      </c>
      <c r="J131" s="10">
        <v>56</v>
      </c>
      <c r="K131" s="11">
        <v>1.2</v>
      </c>
      <c r="L131" s="9">
        <v>401</v>
      </c>
    </row>
    <row r="132" spans="1:12" x14ac:dyDescent="0.25">
      <c r="A132" s="125" t="s">
        <v>90</v>
      </c>
      <c r="B132" s="127"/>
      <c r="C132" s="125" t="s">
        <v>41</v>
      </c>
      <c r="D132" s="126"/>
      <c r="E132" s="127"/>
      <c r="F132" s="9">
        <v>200</v>
      </c>
      <c r="G132" s="10">
        <f>39.57/1000*F132</f>
        <v>7.9140000000000006</v>
      </c>
      <c r="H132" s="10">
        <f>29.08/1000*F132</f>
        <v>5.8159999999999998</v>
      </c>
      <c r="I132" s="10">
        <f>54.92/1000*F132</f>
        <v>10.984</v>
      </c>
      <c r="J132" s="10">
        <f>640/1000*F132</f>
        <v>128</v>
      </c>
      <c r="K132" s="11">
        <f>62.46/1000*F132</f>
        <v>12.492000000000001</v>
      </c>
      <c r="L132" s="9">
        <v>67</v>
      </c>
    </row>
    <row r="133" spans="1:12" ht="15" customHeight="1" x14ac:dyDescent="0.25">
      <c r="A133" s="125"/>
      <c r="B133" s="127"/>
      <c r="C133" s="125" t="s">
        <v>131</v>
      </c>
      <c r="D133" s="126"/>
      <c r="E133" s="127"/>
      <c r="F133" s="9">
        <v>40</v>
      </c>
      <c r="G133" s="10">
        <f>69.57/1000*40</f>
        <v>2.7827999999999999</v>
      </c>
      <c r="H133" s="10">
        <f>24.32/1000*40</f>
        <v>0.97280000000000011</v>
      </c>
      <c r="I133" s="10">
        <f>479.32/1000*40</f>
        <v>19.172799999999999</v>
      </c>
      <c r="J133" s="10">
        <f>2414/1000*40</f>
        <v>96.56</v>
      </c>
      <c r="K133" s="11">
        <v>0</v>
      </c>
      <c r="L133" s="9">
        <v>453</v>
      </c>
    </row>
    <row r="134" spans="1:12" ht="15" customHeight="1" x14ac:dyDescent="0.25">
      <c r="A134" s="125"/>
      <c r="B134" s="127"/>
      <c r="C134" s="145" t="s">
        <v>84</v>
      </c>
      <c r="D134" s="146"/>
      <c r="E134" s="147"/>
      <c r="F134" s="9">
        <v>120</v>
      </c>
      <c r="G134" s="10">
        <f>36.78/1000*120</f>
        <v>4.4135999999999997</v>
      </c>
      <c r="H134" s="10">
        <f>30.1/1000*120</f>
        <v>3.6120000000000001</v>
      </c>
      <c r="I134" s="10">
        <f>176.3/1000*120</f>
        <v>21.156000000000002</v>
      </c>
      <c r="J134" s="10">
        <f>1123/1000*120</f>
        <v>134.76</v>
      </c>
      <c r="K134" s="11"/>
      <c r="L134" s="9">
        <v>317</v>
      </c>
    </row>
    <row r="135" spans="1:12" x14ac:dyDescent="0.25">
      <c r="A135" s="125"/>
      <c r="B135" s="127"/>
      <c r="C135" s="125" t="s">
        <v>142</v>
      </c>
      <c r="D135" s="126"/>
      <c r="E135" s="127"/>
      <c r="F135" s="9">
        <v>120</v>
      </c>
      <c r="G135" s="10">
        <v>8.14</v>
      </c>
      <c r="H135" s="10">
        <v>9.0399999999999991</v>
      </c>
      <c r="I135" s="10">
        <v>10.3</v>
      </c>
      <c r="J135" s="10">
        <v>55</v>
      </c>
      <c r="K135" s="11">
        <v>0.45</v>
      </c>
      <c r="L135" s="13">
        <v>282</v>
      </c>
    </row>
    <row r="136" spans="1:12" ht="15" customHeight="1" x14ac:dyDescent="0.25">
      <c r="A136" s="125"/>
      <c r="B136" s="127"/>
      <c r="C136" s="145" t="s">
        <v>24</v>
      </c>
      <c r="D136" s="146"/>
      <c r="E136" s="147"/>
      <c r="F136" s="9">
        <v>15</v>
      </c>
      <c r="G136" s="10">
        <f>20.56/1000*15</f>
        <v>0.30839999999999995</v>
      </c>
      <c r="H136" s="10">
        <f>52.42/1000*15</f>
        <v>0.7863</v>
      </c>
      <c r="I136" s="10">
        <f>70.92/1000*15</f>
        <v>1.0637999999999999</v>
      </c>
      <c r="J136" s="10">
        <f>830/1000*15</f>
        <v>12.45</v>
      </c>
      <c r="K136" s="11">
        <f>3.25/1000*15</f>
        <v>4.8749999999999995E-2</v>
      </c>
      <c r="L136" s="14">
        <v>350</v>
      </c>
    </row>
    <row r="137" spans="1:12" ht="15" customHeight="1" x14ac:dyDescent="0.25">
      <c r="A137" s="125"/>
      <c r="B137" s="127"/>
      <c r="C137" s="145" t="s">
        <v>151</v>
      </c>
      <c r="D137" s="146"/>
      <c r="E137" s="147"/>
      <c r="F137" s="9">
        <v>40</v>
      </c>
      <c r="G137" s="10">
        <f>8.58/1000*40</f>
        <v>0.34320000000000006</v>
      </c>
      <c r="H137" s="10">
        <f>51.06/1000*40</f>
        <v>2.0424000000000002</v>
      </c>
      <c r="I137" s="10">
        <f>26.07/1000*40</f>
        <v>1.0427999999999999</v>
      </c>
      <c r="J137" s="10">
        <f>598/1000*40</f>
        <v>23.919999999999998</v>
      </c>
      <c r="K137" s="11">
        <f>55.5/1000*40</f>
        <v>2.2200000000000002</v>
      </c>
      <c r="L137" s="9">
        <v>14</v>
      </c>
    </row>
    <row r="138" spans="1:12" ht="15" customHeight="1" x14ac:dyDescent="0.25">
      <c r="A138" s="125"/>
      <c r="B138" s="127"/>
      <c r="C138" s="145" t="s">
        <v>169</v>
      </c>
      <c r="D138" s="146"/>
      <c r="E138" s="147"/>
      <c r="F138" s="9">
        <v>150</v>
      </c>
      <c r="G138" s="10">
        <f>2.2/1000*150</f>
        <v>0.33</v>
      </c>
      <c r="H138" s="10">
        <f>0.1/1000*150</f>
        <v>1.5000000000000001E-2</v>
      </c>
      <c r="I138" s="10">
        <f>138.84/1000*150</f>
        <v>20.825999999999997</v>
      </c>
      <c r="J138" s="10">
        <f>565/1000*150</f>
        <v>84.749999999999986</v>
      </c>
      <c r="K138" s="11">
        <f>2/1000*150</f>
        <v>0.3</v>
      </c>
      <c r="L138" s="14">
        <v>376</v>
      </c>
    </row>
    <row r="139" spans="1:12" x14ac:dyDescent="0.25">
      <c r="A139" s="125"/>
      <c r="B139" s="127"/>
      <c r="C139" s="125" t="s">
        <v>72</v>
      </c>
      <c r="D139" s="126"/>
      <c r="E139" s="127"/>
      <c r="F139" s="9">
        <v>60</v>
      </c>
      <c r="G139" s="10">
        <v>326</v>
      </c>
      <c r="H139" s="10">
        <v>1.85</v>
      </c>
      <c r="I139" s="10">
        <v>20.23</v>
      </c>
      <c r="J139" s="10">
        <v>111</v>
      </c>
      <c r="K139" s="11">
        <v>0.05</v>
      </c>
      <c r="L139" s="12">
        <v>447</v>
      </c>
    </row>
    <row r="140" spans="1:12" x14ac:dyDescent="0.25">
      <c r="A140" s="125" t="s">
        <v>89</v>
      </c>
      <c r="B140" s="127"/>
      <c r="C140" s="125" t="s">
        <v>153</v>
      </c>
      <c r="D140" s="126"/>
      <c r="E140" s="127"/>
      <c r="F140" s="9">
        <v>200</v>
      </c>
      <c r="G140" s="10">
        <f>24.85/1000*200</f>
        <v>4.97</v>
      </c>
      <c r="H140" s="10">
        <f>25.51/1000*200</f>
        <v>5.1020000000000003</v>
      </c>
      <c r="I140" s="10">
        <f>82.51/1000*200</f>
        <v>16.501999999999999</v>
      </c>
      <c r="J140" s="10">
        <f>659/1000*200</f>
        <v>131.80000000000001</v>
      </c>
      <c r="K140" s="11">
        <f>4.55/1000*200</f>
        <v>0.91</v>
      </c>
      <c r="L140" s="14">
        <v>94</v>
      </c>
    </row>
    <row r="141" spans="1:12" ht="15" customHeight="1" x14ac:dyDescent="0.25">
      <c r="A141" s="125"/>
      <c r="B141" s="127"/>
      <c r="C141" s="125" t="s">
        <v>133</v>
      </c>
      <c r="D141" s="126"/>
      <c r="E141" s="127"/>
      <c r="F141" s="9">
        <v>40</v>
      </c>
      <c r="G141" s="10">
        <f>69.57/1000*40</f>
        <v>2.7827999999999999</v>
      </c>
      <c r="H141" s="10">
        <f>24.32/1000*40</f>
        <v>0.97280000000000011</v>
      </c>
      <c r="I141" s="10">
        <f>479.32/1000*40</f>
        <v>19.172799999999999</v>
      </c>
      <c r="J141" s="10">
        <f>2414/1000*40</f>
        <v>96.56</v>
      </c>
      <c r="K141" s="11">
        <v>0</v>
      </c>
      <c r="L141" s="9">
        <v>453</v>
      </c>
    </row>
    <row r="142" spans="1:12" x14ac:dyDescent="0.25">
      <c r="A142" s="125"/>
      <c r="B142" s="127"/>
      <c r="C142" s="125" t="s">
        <v>166</v>
      </c>
      <c r="D142" s="126"/>
      <c r="E142" s="127"/>
      <c r="F142" s="9">
        <v>150</v>
      </c>
      <c r="G142" s="10">
        <v>2.65</v>
      </c>
      <c r="H142" s="10">
        <v>2.33</v>
      </c>
      <c r="I142" s="10">
        <v>11.31</v>
      </c>
      <c r="J142" s="10">
        <v>77</v>
      </c>
      <c r="K142" s="11">
        <v>1.19</v>
      </c>
      <c r="L142" s="9">
        <v>394</v>
      </c>
    </row>
    <row r="143" spans="1:12" ht="15" customHeight="1" x14ac:dyDescent="0.25">
      <c r="A143" s="152" t="s">
        <v>115</v>
      </c>
      <c r="B143" s="153"/>
      <c r="C143" s="154"/>
      <c r="D143" s="155"/>
      <c r="E143" s="156"/>
      <c r="F143" s="15">
        <f t="shared" ref="F143:K143" si="5">SUM(F126:F142)</f>
        <v>1730</v>
      </c>
      <c r="G143" s="16">
        <f t="shared" si="5"/>
        <v>381.89480000000003</v>
      </c>
      <c r="H143" s="16">
        <f t="shared" si="5"/>
        <v>64.059300000000007</v>
      </c>
      <c r="I143" s="16">
        <f t="shared" si="5"/>
        <v>191.34020000000001</v>
      </c>
      <c r="J143" s="16">
        <f t="shared" si="5"/>
        <v>1478.7999999999997</v>
      </c>
      <c r="K143" s="17">
        <f t="shared" si="5"/>
        <v>21.43075</v>
      </c>
      <c r="L143" s="15"/>
    </row>
    <row r="144" spans="1:12" ht="15" customHeight="1" x14ac:dyDescent="0.25">
      <c r="A144" s="157" t="s">
        <v>116</v>
      </c>
      <c r="B144" s="158"/>
      <c r="C144" s="162" t="s">
        <v>141</v>
      </c>
      <c r="D144" s="163"/>
      <c r="E144" s="163"/>
      <c r="F144" s="163"/>
      <c r="G144" s="163"/>
      <c r="H144" s="163"/>
      <c r="I144" s="163"/>
      <c r="J144" s="163"/>
      <c r="K144" s="163"/>
      <c r="L144" s="164"/>
    </row>
    <row r="145" spans="1:12" ht="15" customHeight="1" x14ac:dyDescent="0.25">
      <c r="A145" s="125" t="s">
        <v>92</v>
      </c>
      <c r="B145" s="127"/>
      <c r="C145" s="145" t="s">
        <v>17</v>
      </c>
      <c r="D145" s="146"/>
      <c r="E145" s="147"/>
      <c r="F145" s="9">
        <v>200</v>
      </c>
      <c r="G145" s="10">
        <f>24.85/1000*200</f>
        <v>4.97</v>
      </c>
      <c r="H145" s="10">
        <f>25.51/1000*200</f>
        <v>5.1020000000000003</v>
      </c>
      <c r="I145" s="10">
        <f>82.51/1000*200</f>
        <v>16.501999999999999</v>
      </c>
      <c r="J145" s="10">
        <f>659/1000*200</f>
        <v>131.80000000000001</v>
      </c>
      <c r="K145" s="11">
        <f>4.55/1000*200</f>
        <v>0.91</v>
      </c>
      <c r="L145" s="14">
        <v>94</v>
      </c>
    </row>
    <row r="146" spans="1:12" x14ac:dyDescent="0.25">
      <c r="A146" s="125"/>
      <c r="B146" s="127"/>
      <c r="C146" s="125" t="s">
        <v>137</v>
      </c>
      <c r="D146" s="126"/>
      <c r="E146" s="127"/>
      <c r="F146" s="9">
        <v>55</v>
      </c>
      <c r="G146" s="10">
        <v>2.5099999999999998</v>
      </c>
      <c r="H146" s="10">
        <v>3.93</v>
      </c>
      <c r="I146" s="10">
        <v>28.88</v>
      </c>
      <c r="J146" s="10">
        <v>161</v>
      </c>
      <c r="K146" s="11">
        <v>0.48</v>
      </c>
      <c r="L146" s="12">
        <v>2</v>
      </c>
    </row>
    <row r="147" spans="1:12" ht="15" customHeight="1" x14ac:dyDescent="0.25">
      <c r="A147" s="125"/>
      <c r="B147" s="127"/>
      <c r="C147" s="145" t="s">
        <v>178</v>
      </c>
      <c r="D147" s="146"/>
      <c r="E147" s="147"/>
      <c r="F147" s="9">
        <v>150</v>
      </c>
      <c r="G147" s="10">
        <v>0.14000000000000001</v>
      </c>
      <c r="H147" s="10">
        <v>0.01</v>
      </c>
      <c r="I147" s="10">
        <v>9.6199999999999992</v>
      </c>
      <c r="J147" s="10">
        <v>39</v>
      </c>
      <c r="K147" s="11">
        <v>0.02</v>
      </c>
      <c r="L147" s="9">
        <v>392</v>
      </c>
    </row>
    <row r="148" spans="1:12" x14ac:dyDescent="0.25">
      <c r="A148" s="125" t="s">
        <v>91</v>
      </c>
      <c r="B148" s="127"/>
      <c r="C148" s="159" t="s">
        <v>76</v>
      </c>
      <c r="D148" s="160"/>
      <c r="E148" s="161"/>
      <c r="F148" s="9">
        <v>180</v>
      </c>
      <c r="G148" s="10">
        <v>1</v>
      </c>
      <c r="H148" s="10">
        <v>0</v>
      </c>
      <c r="I148" s="10">
        <v>25.4</v>
      </c>
      <c r="J148" s="10">
        <v>105.34</v>
      </c>
      <c r="K148" s="11">
        <v>8</v>
      </c>
      <c r="L148" s="13">
        <v>399</v>
      </c>
    </row>
    <row r="149" spans="1:12" ht="15" customHeight="1" x14ac:dyDescent="0.25">
      <c r="A149" s="125"/>
      <c r="B149" s="127"/>
      <c r="C149" s="149" t="s">
        <v>124</v>
      </c>
      <c r="D149" s="150"/>
      <c r="E149" s="151"/>
      <c r="F149" s="9">
        <v>75</v>
      </c>
      <c r="G149" s="10">
        <v>0.52500000000000002</v>
      </c>
      <c r="H149" s="10">
        <v>0.1275</v>
      </c>
      <c r="I149" s="10">
        <v>16.3125</v>
      </c>
      <c r="J149" s="10">
        <v>68.4375</v>
      </c>
      <c r="K149" s="11">
        <v>9.84</v>
      </c>
      <c r="L149" s="9">
        <v>369</v>
      </c>
    </row>
    <row r="150" spans="1:12" ht="15" customHeight="1" x14ac:dyDescent="0.25">
      <c r="A150" s="125" t="s">
        <v>90</v>
      </c>
      <c r="B150" s="127"/>
      <c r="C150" s="145" t="s">
        <v>45</v>
      </c>
      <c r="D150" s="146"/>
      <c r="E150" s="147"/>
      <c r="F150" s="21">
        <v>200</v>
      </c>
      <c r="G150" s="22">
        <f>10.75/1000*200</f>
        <v>2.15</v>
      </c>
      <c r="H150" s="22">
        <f>11.35/1000*200</f>
        <v>2.2699999999999996</v>
      </c>
      <c r="I150" s="22">
        <f>68.57/1000*200</f>
        <v>13.713999999999999</v>
      </c>
      <c r="J150" s="22">
        <f>419/1000*200</f>
        <v>83.8</v>
      </c>
      <c r="K150" s="23">
        <f>33/1000*200</f>
        <v>6.6000000000000005</v>
      </c>
      <c r="L150" s="21">
        <v>82</v>
      </c>
    </row>
    <row r="151" spans="1:12" ht="15" customHeight="1" x14ac:dyDescent="0.25">
      <c r="A151" s="125"/>
      <c r="B151" s="127"/>
      <c r="C151" s="125" t="s">
        <v>131</v>
      </c>
      <c r="D151" s="126"/>
      <c r="E151" s="127"/>
      <c r="F151" s="9">
        <v>40</v>
      </c>
      <c r="G151" s="10">
        <f>69.57/1000*40</f>
        <v>2.7827999999999999</v>
      </c>
      <c r="H151" s="10">
        <f>24.32/1000*40</f>
        <v>0.97280000000000011</v>
      </c>
      <c r="I151" s="10">
        <f>479.32/1000*40</f>
        <v>19.172799999999999</v>
      </c>
      <c r="J151" s="10">
        <f>2414/1000*40</f>
        <v>96.56</v>
      </c>
      <c r="K151" s="11">
        <v>0</v>
      </c>
      <c r="L151" s="9">
        <v>453</v>
      </c>
    </row>
    <row r="152" spans="1:12" ht="15" customHeight="1" x14ac:dyDescent="0.25">
      <c r="A152" s="125"/>
      <c r="B152" s="127"/>
      <c r="C152" s="145" t="s">
        <v>219</v>
      </c>
      <c r="D152" s="146"/>
      <c r="E152" s="147"/>
      <c r="F152" s="9">
        <v>120</v>
      </c>
      <c r="G152" s="10">
        <v>2.92</v>
      </c>
      <c r="H152" s="10">
        <v>4.3</v>
      </c>
      <c r="I152" s="10">
        <v>29.35</v>
      </c>
      <c r="J152" s="10">
        <v>167.76</v>
      </c>
      <c r="K152" s="11">
        <v>0</v>
      </c>
      <c r="L152" s="9">
        <v>315</v>
      </c>
    </row>
    <row r="153" spans="1:12" x14ac:dyDescent="0.25">
      <c r="A153" s="125"/>
      <c r="B153" s="127"/>
      <c r="C153" s="125" t="s">
        <v>29</v>
      </c>
      <c r="D153" s="126"/>
      <c r="E153" s="127"/>
      <c r="F153" s="9">
        <v>60</v>
      </c>
      <c r="G153" s="10">
        <v>8.09</v>
      </c>
      <c r="H153" s="10">
        <v>2.54</v>
      </c>
      <c r="I153" s="10">
        <v>6.41</v>
      </c>
      <c r="J153" s="10">
        <v>81</v>
      </c>
      <c r="K153" s="11">
        <v>2.08</v>
      </c>
      <c r="L153" s="9">
        <v>261</v>
      </c>
    </row>
    <row r="154" spans="1:12" ht="15" customHeight="1" x14ac:dyDescent="0.25">
      <c r="A154" s="125"/>
      <c r="B154" s="127"/>
      <c r="C154" s="145" t="s">
        <v>27</v>
      </c>
      <c r="D154" s="146"/>
      <c r="E154" s="147"/>
      <c r="F154" s="9">
        <v>15</v>
      </c>
      <c r="G154" s="10">
        <f>20.56/1000*15</f>
        <v>0.30839999999999995</v>
      </c>
      <c r="H154" s="10">
        <f>52.42/1000*15</f>
        <v>0.7863</v>
      </c>
      <c r="I154" s="10">
        <f>70.92/1000*15</f>
        <v>1.0637999999999999</v>
      </c>
      <c r="J154" s="10">
        <f>830/1000*15</f>
        <v>12.45</v>
      </c>
      <c r="K154" s="11">
        <f>3.25/1000*15</f>
        <v>4.8749999999999995E-2</v>
      </c>
      <c r="L154" s="14">
        <v>350</v>
      </c>
    </row>
    <row r="155" spans="1:12" x14ac:dyDescent="0.25">
      <c r="A155" s="125"/>
      <c r="B155" s="127"/>
      <c r="C155" s="125" t="s">
        <v>154</v>
      </c>
      <c r="D155" s="126"/>
      <c r="E155" s="127"/>
      <c r="F155" s="9">
        <v>40</v>
      </c>
      <c r="G155" s="10">
        <f>29.82/1000*40</f>
        <v>1.1928000000000001</v>
      </c>
      <c r="H155" s="10">
        <f>51.89/1000*40</f>
        <v>2.0756000000000001</v>
      </c>
      <c r="I155" s="10">
        <f>62.51/1000*40</f>
        <v>2.5004</v>
      </c>
      <c r="J155" s="10">
        <f>838/1000*40</f>
        <v>33.519999999999996</v>
      </c>
      <c r="K155" s="11">
        <f>110/1000*40</f>
        <v>4.4000000000000004</v>
      </c>
      <c r="L155" s="9">
        <v>10</v>
      </c>
    </row>
    <row r="156" spans="1:12" x14ac:dyDescent="0.25">
      <c r="A156" s="125"/>
      <c r="B156" s="127"/>
      <c r="C156" s="125" t="s">
        <v>172</v>
      </c>
      <c r="D156" s="126"/>
      <c r="E156" s="127"/>
      <c r="F156" s="9">
        <v>150</v>
      </c>
      <c r="G156" s="10">
        <f>2.2/1000*150</f>
        <v>0.33</v>
      </c>
      <c r="H156" s="10">
        <f>0.1/1000*150</f>
        <v>1.5000000000000001E-2</v>
      </c>
      <c r="I156" s="10">
        <f>138.84/1000*150</f>
        <v>20.825999999999997</v>
      </c>
      <c r="J156" s="10">
        <f>565/1000*150</f>
        <v>84.749999999999986</v>
      </c>
      <c r="K156" s="11">
        <f>2/1000*150</f>
        <v>0.3</v>
      </c>
      <c r="L156" s="14">
        <v>376</v>
      </c>
    </row>
    <row r="157" spans="1:12" ht="15" customHeight="1" x14ac:dyDescent="0.25">
      <c r="A157" s="125"/>
      <c r="B157" s="127"/>
      <c r="C157" s="167" t="s">
        <v>302</v>
      </c>
      <c r="D157" s="168"/>
      <c r="E157" s="169"/>
      <c r="F157" s="9">
        <v>35</v>
      </c>
      <c r="G157" s="10">
        <v>2.23</v>
      </c>
      <c r="H157" s="10">
        <v>1.49</v>
      </c>
      <c r="I157" s="10">
        <v>22.06</v>
      </c>
      <c r="J157" s="10">
        <v>111</v>
      </c>
      <c r="K157" s="11">
        <v>0.04</v>
      </c>
      <c r="L157" s="9">
        <v>458</v>
      </c>
    </row>
    <row r="158" spans="1:12" ht="15" customHeight="1" x14ac:dyDescent="0.25">
      <c r="A158" s="125" t="s">
        <v>89</v>
      </c>
      <c r="B158" s="127"/>
      <c r="C158" s="145" t="s">
        <v>303</v>
      </c>
      <c r="D158" s="146"/>
      <c r="E158" s="147"/>
      <c r="F158" s="9">
        <v>50</v>
      </c>
      <c r="G158" s="10">
        <v>8.8800000000000008</v>
      </c>
      <c r="H158" s="10">
        <v>6.05</v>
      </c>
      <c r="I158" s="10">
        <v>9.19</v>
      </c>
      <c r="J158" s="10">
        <v>127</v>
      </c>
      <c r="K158" s="11">
        <v>0.12</v>
      </c>
      <c r="L158" s="12">
        <v>458</v>
      </c>
    </row>
    <row r="159" spans="1:12" ht="15" customHeight="1" x14ac:dyDescent="0.25">
      <c r="A159" s="125"/>
      <c r="B159" s="127"/>
      <c r="C159" s="125" t="s">
        <v>133</v>
      </c>
      <c r="D159" s="126"/>
      <c r="E159" s="127"/>
      <c r="F159" s="9">
        <v>40</v>
      </c>
      <c r="G159" s="10">
        <f>69.57/1000*40</f>
        <v>2.7827999999999999</v>
      </c>
      <c r="H159" s="10">
        <f>24.32/1000*40</f>
        <v>0.97280000000000011</v>
      </c>
      <c r="I159" s="10">
        <f>479.32/1000*40</f>
        <v>19.172799999999999</v>
      </c>
      <c r="J159" s="10">
        <f>2414/1000*40</f>
        <v>96.56</v>
      </c>
      <c r="K159" s="11">
        <v>0</v>
      </c>
      <c r="L159" s="9">
        <v>453</v>
      </c>
    </row>
    <row r="160" spans="1:12" x14ac:dyDescent="0.25">
      <c r="A160" s="125"/>
      <c r="B160" s="127"/>
      <c r="C160" s="125" t="s">
        <v>175</v>
      </c>
      <c r="D160" s="126"/>
      <c r="E160" s="127"/>
      <c r="F160" s="9">
        <v>150</v>
      </c>
      <c r="G160" s="10">
        <v>0.04</v>
      </c>
      <c r="H160" s="10">
        <v>0.01</v>
      </c>
      <c r="I160" s="10">
        <v>6.99</v>
      </c>
      <c r="J160" s="10">
        <v>28</v>
      </c>
      <c r="K160" s="11">
        <v>0.02</v>
      </c>
      <c r="L160" s="9">
        <v>392</v>
      </c>
    </row>
    <row r="161" spans="1:12" ht="15" customHeight="1" x14ac:dyDescent="0.25">
      <c r="A161" s="152" t="s">
        <v>117</v>
      </c>
      <c r="B161" s="153"/>
      <c r="C161" s="154"/>
      <c r="D161" s="155"/>
      <c r="E161" s="156"/>
      <c r="F161" s="15">
        <f t="shared" ref="F161:K161" si="6">SUM(F145:F160)</f>
        <v>1560</v>
      </c>
      <c r="G161" s="16">
        <f t="shared" si="6"/>
        <v>40.851799999999997</v>
      </c>
      <c r="H161" s="16">
        <f t="shared" si="6"/>
        <v>30.652000000000001</v>
      </c>
      <c r="I161" s="16">
        <f t="shared" si="6"/>
        <v>247.16429999999997</v>
      </c>
      <c r="J161" s="16">
        <f t="shared" si="6"/>
        <v>1427.9775</v>
      </c>
      <c r="K161" s="17">
        <f t="shared" si="6"/>
        <v>32.858749999999993</v>
      </c>
      <c r="L161" s="15"/>
    </row>
    <row r="162" spans="1:12" ht="15" customHeight="1" x14ac:dyDescent="0.25">
      <c r="A162" s="157" t="s">
        <v>155</v>
      </c>
      <c r="B162" s="158"/>
      <c r="C162" s="162" t="s">
        <v>143</v>
      </c>
      <c r="D162" s="163"/>
      <c r="E162" s="163"/>
      <c r="F162" s="163"/>
      <c r="G162" s="163"/>
      <c r="H162" s="163"/>
      <c r="I162" s="163"/>
      <c r="J162" s="163"/>
      <c r="K162" s="163"/>
      <c r="L162" s="164"/>
    </row>
    <row r="163" spans="1:12" ht="15" customHeight="1" x14ac:dyDescent="0.25">
      <c r="A163" s="143" t="s">
        <v>107</v>
      </c>
      <c r="B163" s="144"/>
      <c r="C163" s="145" t="s">
        <v>18</v>
      </c>
      <c r="D163" s="146"/>
      <c r="E163" s="147"/>
      <c r="F163" s="9">
        <v>200</v>
      </c>
      <c r="G163" s="10">
        <v>5</v>
      </c>
      <c r="H163" s="10">
        <v>8.1999999999999993</v>
      </c>
      <c r="I163" s="10">
        <v>30.3</v>
      </c>
      <c r="J163" s="10">
        <v>215</v>
      </c>
      <c r="K163" s="11">
        <v>0.22</v>
      </c>
      <c r="L163" s="13">
        <v>94</v>
      </c>
    </row>
    <row r="164" spans="1:12" x14ac:dyDescent="0.25">
      <c r="A164" s="125"/>
      <c r="B164" s="127"/>
      <c r="C164" s="125" t="s">
        <v>126</v>
      </c>
      <c r="D164" s="126"/>
      <c r="E164" s="127"/>
      <c r="F164" s="9">
        <v>45</v>
      </c>
      <c r="G164" s="10">
        <v>4.79</v>
      </c>
      <c r="H164" s="10">
        <v>6.32</v>
      </c>
      <c r="I164" s="10">
        <v>14.56</v>
      </c>
      <c r="J164" s="10">
        <v>134</v>
      </c>
      <c r="K164" s="11">
        <v>0.08</v>
      </c>
      <c r="L164" s="12">
        <v>3</v>
      </c>
    </row>
    <row r="165" spans="1:12" x14ac:dyDescent="0.25">
      <c r="A165" s="125"/>
      <c r="B165" s="127"/>
      <c r="C165" s="125" t="s">
        <v>166</v>
      </c>
      <c r="D165" s="126"/>
      <c r="E165" s="127"/>
      <c r="F165" s="9">
        <v>150</v>
      </c>
      <c r="G165" s="10">
        <v>2.65</v>
      </c>
      <c r="H165" s="10">
        <v>2.33</v>
      </c>
      <c r="I165" s="10">
        <v>11.31</v>
      </c>
      <c r="J165" s="10">
        <v>77</v>
      </c>
      <c r="K165" s="11">
        <v>1.19</v>
      </c>
      <c r="L165" s="9">
        <v>394</v>
      </c>
    </row>
    <row r="166" spans="1:12" x14ac:dyDescent="0.25">
      <c r="A166" s="125" t="s">
        <v>91</v>
      </c>
      <c r="B166" s="127"/>
      <c r="C166" s="159" t="s">
        <v>75</v>
      </c>
      <c r="D166" s="160"/>
      <c r="E166" s="161"/>
      <c r="F166" s="9">
        <v>150</v>
      </c>
      <c r="G166" s="10">
        <v>4.58</v>
      </c>
      <c r="H166" s="10">
        <v>4.08</v>
      </c>
      <c r="I166" s="10">
        <v>7.58</v>
      </c>
      <c r="J166" s="10">
        <v>85</v>
      </c>
      <c r="K166" s="11">
        <v>2.0499999999999998</v>
      </c>
      <c r="L166" s="13">
        <v>400</v>
      </c>
    </row>
    <row r="167" spans="1:12" ht="15" customHeight="1" x14ac:dyDescent="0.25">
      <c r="A167" s="125"/>
      <c r="B167" s="127"/>
      <c r="C167" s="149" t="s">
        <v>304</v>
      </c>
      <c r="D167" s="150"/>
      <c r="E167" s="151"/>
      <c r="F167" s="9">
        <v>150</v>
      </c>
      <c r="G167" s="10">
        <v>4.5</v>
      </c>
      <c r="H167" s="10">
        <v>1.5</v>
      </c>
      <c r="I167" s="10">
        <v>6</v>
      </c>
      <c r="J167" s="10">
        <v>56</v>
      </c>
      <c r="K167" s="11">
        <v>1.2</v>
      </c>
      <c r="L167" s="9">
        <v>401</v>
      </c>
    </row>
    <row r="168" spans="1:12" x14ac:dyDescent="0.25">
      <c r="A168" s="125" t="s">
        <v>90</v>
      </c>
      <c r="B168" s="127"/>
      <c r="C168" s="125" t="s">
        <v>48</v>
      </c>
      <c r="D168" s="126"/>
      <c r="E168" s="127"/>
      <c r="F168" s="9">
        <v>200</v>
      </c>
      <c r="G168" s="10">
        <f>8.24/1000*200</f>
        <v>1.6480000000000001</v>
      </c>
      <c r="H168" s="10">
        <f>12.4/1000*200</f>
        <v>2.48</v>
      </c>
      <c r="I168" s="10">
        <f>50.3/1000*200</f>
        <v>10.059999999999999</v>
      </c>
      <c r="J168" s="10">
        <f>346/1000*200</f>
        <v>69.199999999999989</v>
      </c>
      <c r="K168" s="11">
        <f>23/1000*200</f>
        <v>4.5999999999999996</v>
      </c>
      <c r="L168" s="13">
        <v>85</v>
      </c>
    </row>
    <row r="169" spans="1:12" ht="15" customHeight="1" x14ac:dyDescent="0.25">
      <c r="A169" s="125"/>
      <c r="B169" s="127"/>
      <c r="C169" s="125" t="s">
        <v>131</v>
      </c>
      <c r="D169" s="126"/>
      <c r="E169" s="127"/>
      <c r="F169" s="9">
        <v>40</v>
      </c>
      <c r="G169" s="10">
        <f>69.57/1000*40</f>
        <v>2.7827999999999999</v>
      </c>
      <c r="H169" s="10">
        <f>24.32/1000*40</f>
        <v>0.97280000000000011</v>
      </c>
      <c r="I169" s="10">
        <f>479.32/1000*40</f>
        <v>19.172799999999999</v>
      </c>
      <c r="J169" s="10">
        <f>2414/1000*40</f>
        <v>96.56</v>
      </c>
      <c r="K169" s="11">
        <v>0</v>
      </c>
      <c r="L169" s="9">
        <v>453</v>
      </c>
    </row>
    <row r="170" spans="1:12" x14ac:dyDescent="0.25">
      <c r="A170" s="125"/>
      <c r="B170" s="127"/>
      <c r="C170" s="125" t="s">
        <v>54</v>
      </c>
      <c r="D170" s="126"/>
      <c r="E170" s="127"/>
      <c r="F170" s="9">
        <v>120</v>
      </c>
      <c r="G170" s="10">
        <f>44/1000*120</f>
        <v>5.2799999999999994</v>
      </c>
      <c r="H170" s="10">
        <f>38.18/1000*120</f>
        <v>4.5815999999999999</v>
      </c>
      <c r="I170" s="10">
        <f>252.55/1000*120</f>
        <v>30.306000000000001</v>
      </c>
      <c r="J170" s="10">
        <f>1530/1000*120</f>
        <v>183.6</v>
      </c>
      <c r="K170" s="11"/>
      <c r="L170" s="9">
        <v>313</v>
      </c>
    </row>
    <row r="171" spans="1:12" ht="15" customHeight="1" x14ac:dyDescent="0.25">
      <c r="A171" s="125"/>
      <c r="B171" s="127"/>
      <c r="C171" s="145" t="s">
        <v>56</v>
      </c>
      <c r="D171" s="146"/>
      <c r="E171" s="147"/>
      <c r="F171" s="9">
        <v>60</v>
      </c>
      <c r="G171" s="10">
        <v>8.4499999999999993</v>
      </c>
      <c r="H171" s="10">
        <v>8.8800000000000008</v>
      </c>
      <c r="I171" s="10">
        <v>5.3</v>
      </c>
      <c r="J171" s="10">
        <v>135</v>
      </c>
      <c r="K171" s="11">
        <v>0.24</v>
      </c>
      <c r="L171" s="9">
        <v>306</v>
      </c>
    </row>
    <row r="172" spans="1:12" x14ac:dyDescent="0.25">
      <c r="A172" s="125"/>
      <c r="B172" s="127"/>
      <c r="C172" s="125" t="s">
        <v>52</v>
      </c>
      <c r="D172" s="126"/>
      <c r="E172" s="127"/>
      <c r="F172" s="9">
        <v>15</v>
      </c>
      <c r="G172" s="10">
        <f>20.56/1000*15</f>
        <v>0.30839999999999995</v>
      </c>
      <c r="H172" s="10">
        <f>52.42/1000*15</f>
        <v>0.7863</v>
      </c>
      <c r="I172" s="10">
        <f>70.92/1000*15</f>
        <v>1.0637999999999999</v>
      </c>
      <c r="J172" s="10">
        <f>830/1000*15</f>
        <v>12.45</v>
      </c>
      <c r="K172" s="11">
        <f>3.25/1000*15</f>
        <v>4.8749999999999995E-2</v>
      </c>
      <c r="L172" s="14">
        <v>350</v>
      </c>
    </row>
    <row r="173" spans="1:12" ht="15" customHeight="1" x14ac:dyDescent="0.25">
      <c r="A173" s="125"/>
      <c r="B173" s="127"/>
      <c r="C173" s="145" t="s">
        <v>276</v>
      </c>
      <c r="D173" s="146"/>
      <c r="E173" s="147"/>
      <c r="F173" s="99">
        <v>40</v>
      </c>
      <c r="G173" s="100">
        <f>8.58/1000*40</f>
        <v>0.34320000000000006</v>
      </c>
      <c r="H173" s="100">
        <f>51.06/1000*40</f>
        <v>2.0424000000000002</v>
      </c>
      <c r="I173" s="100">
        <f>26.07/1000*40</f>
        <v>1.0427999999999999</v>
      </c>
      <c r="J173" s="100">
        <f>598/1000*40</f>
        <v>23.919999999999998</v>
      </c>
      <c r="K173" s="101">
        <f>55.5/1000*40</f>
        <v>2.2200000000000002</v>
      </c>
      <c r="L173" s="99">
        <v>15</v>
      </c>
    </row>
    <row r="174" spans="1:12" ht="15" customHeight="1" x14ac:dyDescent="0.25">
      <c r="A174" s="125"/>
      <c r="B174" s="127"/>
      <c r="C174" s="145" t="s">
        <v>305</v>
      </c>
      <c r="D174" s="146"/>
      <c r="E174" s="147"/>
      <c r="F174" s="9">
        <v>150</v>
      </c>
      <c r="G174" s="10">
        <f>2.2/1000*150</f>
        <v>0.33</v>
      </c>
      <c r="H174" s="10">
        <f>0.1/1000*150</f>
        <v>1.5000000000000001E-2</v>
      </c>
      <c r="I174" s="10">
        <f>138.84/1000*150</f>
        <v>20.825999999999997</v>
      </c>
      <c r="J174" s="10">
        <f>565/1000*150</f>
        <v>84.749999999999986</v>
      </c>
      <c r="K174" s="11">
        <f>2/1000*150</f>
        <v>0.3</v>
      </c>
      <c r="L174" s="14">
        <v>376</v>
      </c>
    </row>
    <row r="175" spans="1:12" x14ac:dyDescent="0.25">
      <c r="A175" s="125"/>
      <c r="B175" s="127"/>
      <c r="C175" s="125" t="s">
        <v>70</v>
      </c>
      <c r="D175" s="126"/>
      <c r="E175" s="127"/>
      <c r="F175" s="9">
        <v>50</v>
      </c>
      <c r="G175" s="10">
        <v>8.0299999999999994</v>
      </c>
      <c r="H175" s="10">
        <v>6.69</v>
      </c>
      <c r="I175" s="10">
        <v>13.97</v>
      </c>
      <c r="J175" s="10">
        <v>148</v>
      </c>
      <c r="K175" s="11">
        <v>0.28999999999999998</v>
      </c>
      <c r="L175" s="14">
        <v>465</v>
      </c>
    </row>
    <row r="176" spans="1:12" ht="15" customHeight="1" x14ac:dyDescent="0.25">
      <c r="A176" s="165" t="s">
        <v>89</v>
      </c>
      <c r="B176" s="166"/>
      <c r="C176" s="145" t="s">
        <v>181</v>
      </c>
      <c r="D176" s="146"/>
      <c r="E176" s="147"/>
      <c r="F176" s="9">
        <v>170</v>
      </c>
      <c r="G176" s="10">
        <v>20.8</v>
      </c>
      <c r="H176" s="10">
        <v>5.33</v>
      </c>
      <c r="I176" s="10">
        <v>18.5</v>
      </c>
      <c r="J176" s="10">
        <v>205</v>
      </c>
      <c r="K176" s="11">
        <v>7.26</v>
      </c>
      <c r="L176" s="12">
        <v>276</v>
      </c>
    </row>
    <row r="177" spans="1:12" ht="15" customHeight="1" x14ac:dyDescent="0.25">
      <c r="A177" s="125"/>
      <c r="B177" s="127"/>
      <c r="C177" s="125" t="s">
        <v>133</v>
      </c>
      <c r="D177" s="126"/>
      <c r="E177" s="127"/>
      <c r="F177" s="9">
        <v>40</v>
      </c>
      <c r="G177" s="10">
        <f>69.57/1000*40</f>
        <v>2.7827999999999999</v>
      </c>
      <c r="H177" s="10">
        <f>24.32/1000*40</f>
        <v>0.97280000000000011</v>
      </c>
      <c r="I177" s="10">
        <f>479.32/1000*40</f>
        <v>19.172799999999999</v>
      </c>
      <c r="J177" s="10">
        <f>2414/1000*40</f>
        <v>96.56</v>
      </c>
      <c r="K177" s="11">
        <v>0</v>
      </c>
      <c r="L177" s="9">
        <v>453</v>
      </c>
    </row>
    <row r="178" spans="1:12" x14ac:dyDescent="0.25">
      <c r="A178" s="125"/>
      <c r="B178" s="127"/>
      <c r="C178" s="145" t="s">
        <v>310</v>
      </c>
      <c r="D178" s="146"/>
      <c r="E178" s="147"/>
      <c r="F178" s="9">
        <v>150</v>
      </c>
      <c r="G178" s="10">
        <v>3.15</v>
      </c>
      <c r="H178" s="10">
        <v>2.72</v>
      </c>
      <c r="I178" s="10">
        <v>12.96</v>
      </c>
      <c r="J178" s="10">
        <v>89</v>
      </c>
      <c r="K178" s="11"/>
      <c r="L178" s="9">
        <v>395</v>
      </c>
    </row>
    <row r="179" spans="1:12" ht="15" customHeight="1" x14ac:dyDescent="0.25">
      <c r="A179" s="96"/>
      <c r="B179" s="97"/>
      <c r="C179" s="125" t="s">
        <v>309</v>
      </c>
      <c r="D179" s="126"/>
      <c r="E179" s="127"/>
      <c r="F179" s="9"/>
      <c r="G179" s="10"/>
      <c r="H179" s="10"/>
      <c r="I179" s="10"/>
      <c r="J179" s="10"/>
      <c r="K179" s="11"/>
      <c r="L179" s="9"/>
    </row>
    <row r="180" spans="1:12" ht="15" customHeight="1" x14ac:dyDescent="0.25">
      <c r="A180" s="152" t="s">
        <v>118</v>
      </c>
      <c r="B180" s="153"/>
      <c r="C180" s="154"/>
      <c r="D180" s="155"/>
      <c r="E180" s="156"/>
      <c r="F180" s="15">
        <f t="shared" ref="F180:K180" si="7">SUM(F163:F179)</f>
        <v>1730</v>
      </c>
      <c r="G180" s="16">
        <f t="shared" si="7"/>
        <v>75.425200000000004</v>
      </c>
      <c r="H180" s="16">
        <f t="shared" si="7"/>
        <v>57.900899999999993</v>
      </c>
      <c r="I180" s="16">
        <f t="shared" si="7"/>
        <v>222.1242</v>
      </c>
      <c r="J180" s="16">
        <f t="shared" si="7"/>
        <v>1711.0400000000002</v>
      </c>
      <c r="K180" s="17">
        <f t="shared" si="7"/>
        <v>19.69875</v>
      </c>
      <c r="L180" s="15"/>
    </row>
    <row r="181" spans="1:12" ht="15" customHeight="1" x14ac:dyDescent="0.25">
      <c r="A181" s="157" t="s">
        <v>157</v>
      </c>
      <c r="B181" s="158"/>
      <c r="C181" s="162" t="s">
        <v>147</v>
      </c>
      <c r="D181" s="163"/>
      <c r="E181" s="163"/>
      <c r="F181" s="163"/>
      <c r="G181" s="163"/>
      <c r="H181" s="163"/>
      <c r="I181" s="163"/>
      <c r="J181" s="163"/>
      <c r="K181" s="163"/>
      <c r="L181" s="164"/>
    </row>
    <row r="182" spans="1:12" x14ac:dyDescent="0.25">
      <c r="A182" s="143" t="s">
        <v>92</v>
      </c>
      <c r="B182" s="144"/>
      <c r="C182" s="125" t="s">
        <v>306</v>
      </c>
      <c r="D182" s="126"/>
      <c r="E182" s="127"/>
      <c r="F182" s="9">
        <v>200</v>
      </c>
      <c r="G182" s="10">
        <f>28.75/1000*200</f>
        <v>5.75</v>
      </c>
      <c r="H182" s="10">
        <f>26.06/1000*200</f>
        <v>5.2119999999999997</v>
      </c>
      <c r="I182" s="10">
        <f>94.19/1000*200</f>
        <v>18.838000000000001</v>
      </c>
      <c r="J182" s="10">
        <f>726/1000*200</f>
        <v>145.19999999999999</v>
      </c>
      <c r="K182" s="11">
        <f>4.55/1000*200</f>
        <v>0.91</v>
      </c>
      <c r="L182" s="9">
        <v>94</v>
      </c>
    </row>
    <row r="183" spans="1:12" x14ac:dyDescent="0.25">
      <c r="A183" s="125"/>
      <c r="B183" s="127"/>
      <c r="C183" s="125" t="s">
        <v>137</v>
      </c>
      <c r="D183" s="126"/>
      <c r="E183" s="127"/>
      <c r="F183" s="9">
        <v>55</v>
      </c>
      <c r="G183" s="10">
        <v>2.5099999999999998</v>
      </c>
      <c r="H183" s="10">
        <v>3.93</v>
      </c>
      <c r="I183" s="10">
        <v>28.88</v>
      </c>
      <c r="J183" s="10">
        <v>161</v>
      </c>
      <c r="K183" s="11">
        <v>0.48</v>
      </c>
      <c r="L183" s="12">
        <v>2</v>
      </c>
    </row>
    <row r="184" spans="1:12" x14ac:dyDescent="0.25">
      <c r="A184" s="125"/>
      <c r="B184" s="127"/>
      <c r="C184" s="125" t="s">
        <v>165</v>
      </c>
      <c r="D184" s="126"/>
      <c r="E184" s="127"/>
      <c r="F184" s="9">
        <v>150</v>
      </c>
      <c r="G184" s="10">
        <v>0.04</v>
      </c>
      <c r="H184" s="10">
        <v>0.01</v>
      </c>
      <c r="I184" s="10">
        <v>6.99</v>
      </c>
      <c r="J184" s="10">
        <v>28</v>
      </c>
      <c r="K184" s="11">
        <v>0.02</v>
      </c>
      <c r="L184" s="9">
        <v>392</v>
      </c>
    </row>
    <row r="185" spans="1:12" x14ac:dyDescent="0.25">
      <c r="A185" s="125" t="s">
        <v>91</v>
      </c>
      <c r="B185" s="127"/>
      <c r="C185" s="159" t="s">
        <v>76</v>
      </c>
      <c r="D185" s="160"/>
      <c r="E185" s="161"/>
      <c r="F185" s="9">
        <v>180</v>
      </c>
      <c r="G185" s="10">
        <v>1</v>
      </c>
      <c r="H185" s="10">
        <v>0</v>
      </c>
      <c r="I185" s="10">
        <v>25.4</v>
      </c>
      <c r="J185" s="10">
        <v>105.34</v>
      </c>
      <c r="K185" s="11">
        <v>8</v>
      </c>
      <c r="L185" s="13">
        <v>399</v>
      </c>
    </row>
    <row r="186" spans="1:12" ht="15" customHeight="1" x14ac:dyDescent="0.25">
      <c r="A186" s="125"/>
      <c r="B186" s="127"/>
      <c r="C186" s="149" t="s">
        <v>124</v>
      </c>
      <c r="D186" s="150"/>
      <c r="E186" s="151"/>
      <c r="F186" s="9">
        <v>75</v>
      </c>
      <c r="G186" s="10">
        <v>0.52500000000000002</v>
      </c>
      <c r="H186" s="10">
        <v>0.1275</v>
      </c>
      <c r="I186" s="10">
        <v>16.3125</v>
      </c>
      <c r="J186" s="10">
        <v>68.4375</v>
      </c>
      <c r="K186" s="11">
        <v>9.84</v>
      </c>
      <c r="L186" s="9">
        <v>369</v>
      </c>
    </row>
    <row r="187" spans="1:12" ht="15" customHeight="1" x14ac:dyDescent="0.25">
      <c r="A187" s="148" t="s">
        <v>90</v>
      </c>
      <c r="B187" s="144"/>
      <c r="C187" s="145" t="s">
        <v>307</v>
      </c>
      <c r="D187" s="146"/>
      <c r="E187" s="147"/>
      <c r="F187" s="21">
        <v>200</v>
      </c>
      <c r="G187" s="22">
        <v>24.2</v>
      </c>
      <c r="H187" s="22">
        <v>14.23</v>
      </c>
      <c r="I187" s="22">
        <v>62.66</v>
      </c>
      <c r="J187" s="22">
        <v>95.2</v>
      </c>
      <c r="K187" s="23">
        <v>9.76</v>
      </c>
      <c r="L187" s="21">
        <v>84</v>
      </c>
    </row>
    <row r="188" spans="1:12" ht="15" customHeight="1" x14ac:dyDescent="0.25">
      <c r="A188" s="125"/>
      <c r="B188" s="127"/>
      <c r="C188" s="125" t="s">
        <v>131</v>
      </c>
      <c r="D188" s="126"/>
      <c r="E188" s="127"/>
      <c r="F188" s="9">
        <v>40</v>
      </c>
      <c r="G188" s="10">
        <f>69.57/1000*40</f>
        <v>2.7827999999999999</v>
      </c>
      <c r="H188" s="10">
        <f>24.32/1000*40</f>
        <v>0.97280000000000011</v>
      </c>
      <c r="I188" s="10">
        <f>479.32/1000*40</f>
        <v>19.172799999999999</v>
      </c>
      <c r="J188" s="10">
        <f>2414/1000*40</f>
        <v>96.56</v>
      </c>
      <c r="K188" s="11">
        <v>0</v>
      </c>
      <c r="L188" s="9">
        <v>453</v>
      </c>
    </row>
    <row r="189" spans="1:12" ht="15" customHeight="1" x14ac:dyDescent="0.25">
      <c r="A189" s="143"/>
      <c r="B189" s="144"/>
      <c r="C189" s="145" t="s">
        <v>53</v>
      </c>
      <c r="D189" s="146"/>
      <c r="E189" s="147"/>
      <c r="F189" s="9">
        <v>120</v>
      </c>
      <c r="G189" s="10">
        <f>44/1000*120</f>
        <v>5.2799999999999994</v>
      </c>
      <c r="H189" s="10">
        <f>38.18/1000*120</f>
        <v>4.5815999999999999</v>
      </c>
      <c r="I189" s="10">
        <f>252.55/1000*120</f>
        <v>30.306000000000001</v>
      </c>
      <c r="J189" s="10">
        <f>1530/1000*120</f>
        <v>183.6</v>
      </c>
      <c r="K189" s="11">
        <v>0</v>
      </c>
      <c r="L189" s="9">
        <v>313</v>
      </c>
    </row>
    <row r="190" spans="1:12" x14ac:dyDescent="0.25">
      <c r="A190" s="125"/>
      <c r="B190" s="127"/>
      <c r="C190" s="125" t="s">
        <v>39</v>
      </c>
      <c r="D190" s="126"/>
      <c r="E190" s="127"/>
      <c r="F190" s="9">
        <v>60</v>
      </c>
      <c r="G190" s="10">
        <v>5.74</v>
      </c>
      <c r="H190" s="10">
        <v>2.89</v>
      </c>
      <c r="I190" s="10">
        <v>1.54</v>
      </c>
      <c r="J190" s="10">
        <v>55</v>
      </c>
      <c r="K190" s="11">
        <v>1.25</v>
      </c>
      <c r="L190" s="13">
        <v>247</v>
      </c>
    </row>
    <row r="191" spans="1:12" x14ac:dyDescent="0.25">
      <c r="A191" s="143"/>
      <c r="B191" s="144"/>
      <c r="C191" s="125" t="s">
        <v>24</v>
      </c>
      <c r="D191" s="126"/>
      <c r="E191" s="127"/>
      <c r="F191" s="9">
        <v>15</v>
      </c>
      <c r="G191" s="10">
        <v>0.17</v>
      </c>
      <c r="H191" s="10">
        <v>0.63</v>
      </c>
      <c r="I191" s="10">
        <v>2.7E-2</v>
      </c>
      <c r="J191" s="10">
        <v>11.0175</v>
      </c>
      <c r="K191" s="11">
        <v>0.35</v>
      </c>
      <c r="L191" s="14">
        <v>348</v>
      </c>
    </row>
    <row r="192" spans="1:12" x14ac:dyDescent="0.25">
      <c r="A192" s="143"/>
      <c r="B192" s="144"/>
      <c r="C192" s="125" t="s">
        <v>159</v>
      </c>
      <c r="D192" s="126"/>
      <c r="E192" s="127"/>
      <c r="F192" s="9">
        <v>40</v>
      </c>
      <c r="G192" s="10">
        <f>65.54/1000*40</f>
        <v>2.6215999999999999</v>
      </c>
      <c r="H192" s="10">
        <f>68.99/1000*40</f>
        <v>2.7595999999999998</v>
      </c>
      <c r="I192" s="10">
        <f>53.88/1000*40</f>
        <v>2.1552000000000002</v>
      </c>
      <c r="J192" s="10">
        <f>1099/1000*40</f>
        <v>43.96</v>
      </c>
      <c r="K192" s="11">
        <f>64.75/1000*40</f>
        <v>2.59</v>
      </c>
      <c r="L192" s="9">
        <v>51</v>
      </c>
    </row>
    <row r="193" spans="1:12" ht="15" customHeight="1" x14ac:dyDescent="0.25">
      <c r="A193" s="143"/>
      <c r="B193" s="144"/>
      <c r="C193" s="145" t="s">
        <v>167</v>
      </c>
      <c r="D193" s="146"/>
      <c r="E193" s="147"/>
      <c r="F193" s="9">
        <v>150</v>
      </c>
      <c r="G193" s="10">
        <f>2.2/1000*150</f>
        <v>0.33</v>
      </c>
      <c r="H193" s="10">
        <f>0.1/1000*150</f>
        <v>1.5000000000000001E-2</v>
      </c>
      <c r="I193" s="10">
        <f>138.84/1000*150</f>
        <v>20.825999999999997</v>
      </c>
      <c r="J193" s="10">
        <f>565/1000*150</f>
        <v>84.749999999999986</v>
      </c>
      <c r="K193" s="11">
        <f>2/1000*150</f>
        <v>0.3</v>
      </c>
      <c r="L193" s="14">
        <v>376</v>
      </c>
    </row>
    <row r="194" spans="1:12" ht="15" customHeight="1" x14ac:dyDescent="0.25">
      <c r="A194" s="125"/>
      <c r="B194" s="127"/>
      <c r="C194" s="145" t="s">
        <v>11</v>
      </c>
      <c r="D194" s="146"/>
      <c r="E194" s="147"/>
      <c r="F194" s="9">
        <v>50</v>
      </c>
      <c r="G194" s="10">
        <v>4.24</v>
      </c>
      <c r="H194" s="10">
        <v>8.7100000000000009</v>
      </c>
      <c r="I194" s="10">
        <v>29.52</v>
      </c>
      <c r="J194" s="10">
        <v>213</v>
      </c>
      <c r="K194" s="11">
        <v>7.0000000000000007E-2</v>
      </c>
      <c r="L194" s="14">
        <v>492</v>
      </c>
    </row>
    <row r="195" spans="1:12" x14ac:dyDescent="0.25">
      <c r="A195" s="125" t="s">
        <v>89</v>
      </c>
      <c r="B195" s="127"/>
      <c r="C195" s="125" t="s">
        <v>308</v>
      </c>
      <c r="D195" s="126"/>
      <c r="E195" s="127"/>
      <c r="F195" s="9">
        <v>65</v>
      </c>
      <c r="G195" s="10">
        <v>4.57</v>
      </c>
      <c r="H195" s="10">
        <v>9.5</v>
      </c>
      <c r="I195" s="10">
        <v>3.79</v>
      </c>
      <c r="J195" s="10">
        <v>119</v>
      </c>
      <c r="K195" s="11">
        <v>0.5</v>
      </c>
      <c r="L195" s="14">
        <v>219</v>
      </c>
    </row>
    <row r="196" spans="1:12" ht="15" customHeight="1" x14ac:dyDescent="0.25">
      <c r="A196" s="125"/>
      <c r="B196" s="127"/>
      <c r="C196" s="125" t="s">
        <v>133</v>
      </c>
      <c r="D196" s="126"/>
      <c r="E196" s="127"/>
      <c r="F196" s="9">
        <v>40</v>
      </c>
      <c r="G196" s="10">
        <f>69.57/1000*40</f>
        <v>2.7827999999999999</v>
      </c>
      <c r="H196" s="10">
        <f>24.32/1000*40</f>
        <v>0.97280000000000011</v>
      </c>
      <c r="I196" s="10">
        <f>479.32/1000*40</f>
        <v>19.172799999999999</v>
      </c>
      <c r="J196" s="10">
        <f>2414/1000*40</f>
        <v>96.56</v>
      </c>
      <c r="K196" s="11">
        <v>0</v>
      </c>
      <c r="L196" s="9">
        <v>453</v>
      </c>
    </row>
    <row r="197" spans="1:12" x14ac:dyDescent="0.25">
      <c r="A197" s="125"/>
      <c r="B197" s="127"/>
      <c r="C197" s="125" t="s">
        <v>177</v>
      </c>
      <c r="D197" s="126"/>
      <c r="E197" s="127"/>
      <c r="F197" s="9">
        <v>150</v>
      </c>
      <c r="G197" s="10">
        <v>0.04</v>
      </c>
      <c r="H197" s="10">
        <v>0.01</v>
      </c>
      <c r="I197" s="10">
        <v>6.99</v>
      </c>
      <c r="J197" s="10">
        <v>28</v>
      </c>
      <c r="K197" s="11">
        <v>0.02</v>
      </c>
      <c r="L197" s="9">
        <v>392</v>
      </c>
    </row>
    <row r="198" spans="1:12" ht="39.75" customHeight="1" x14ac:dyDescent="0.25">
      <c r="A198" s="25" t="s">
        <v>119</v>
      </c>
      <c r="B198" s="26"/>
      <c r="C198" s="135"/>
      <c r="D198" s="136"/>
      <c r="E198" s="137"/>
      <c r="F198" s="15">
        <f t="shared" ref="F198:K198" si="8">SUM(F182:F197)</f>
        <v>1590</v>
      </c>
      <c r="G198" s="16">
        <f t="shared" si="8"/>
        <v>62.582200000000007</v>
      </c>
      <c r="H198" s="16">
        <f t="shared" si="8"/>
        <v>54.551299999999998</v>
      </c>
      <c r="I198" s="16">
        <f t="shared" si="8"/>
        <v>292.58030000000002</v>
      </c>
      <c r="J198" s="16">
        <f t="shared" si="8"/>
        <v>1534.625</v>
      </c>
      <c r="K198" s="17">
        <f t="shared" si="8"/>
        <v>34.090000000000003</v>
      </c>
      <c r="L198" s="15"/>
    </row>
    <row r="199" spans="1:12" ht="15" customHeight="1" x14ac:dyDescent="0.25">
      <c r="A199" s="138" t="s">
        <v>120</v>
      </c>
      <c r="B199" s="139"/>
      <c r="C199" s="140"/>
      <c r="D199" s="141"/>
      <c r="E199" s="142"/>
      <c r="F199" s="27">
        <f t="shared" ref="F199:K199" si="9">SUM(F27+F47+F67+F86+F105+F124+F143+F161+F180+F198)</f>
        <v>17420</v>
      </c>
      <c r="G199" s="28">
        <f t="shared" si="9"/>
        <v>1847.9198999999999</v>
      </c>
      <c r="H199" s="28">
        <f t="shared" si="9"/>
        <v>1011.68295</v>
      </c>
      <c r="I199" s="28">
        <f t="shared" si="9"/>
        <v>2517.0106000000001</v>
      </c>
      <c r="J199" s="28">
        <f t="shared" si="9"/>
        <v>16933.907499999998</v>
      </c>
      <c r="K199" s="29">
        <f t="shared" si="9"/>
        <v>340.86890000000005</v>
      </c>
      <c r="L199" s="27"/>
    </row>
    <row r="200" spans="1:12" ht="15" customHeight="1" x14ac:dyDescent="0.25">
      <c r="A200" s="130" t="s">
        <v>121</v>
      </c>
      <c r="B200" s="131"/>
      <c r="C200" s="132"/>
      <c r="D200" s="133"/>
      <c r="E200" s="134"/>
      <c r="F200" s="30">
        <f t="shared" ref="F200:K200" si="10">F199/10</f>
        <v>1742</v>
      </c>
      <c r="G200" s="20">
        <f t="shared" si="10"/>
        <v>184.79199</v>
      </c>
      <c r="H200" s="20">
        <f t="shared" si="10"/>
        <v>101.168295</v>
      </c>
      <c r="I200" s="20">
        <f t="shared" si="10"/>
        <v>251.70106000000001</v>
      </c>
      <c r="J200" s="20">
        <f t="shared" si="10"/>
        <v>1693.3907499999998</v>
      </c>
      <c r="K200" s="20">
        <f t="shared" si="10"/>
        <v>34.086890000000004</v>
      </c>
      <c r="L200" s="18"/>
    </row>
    <row r="201" spans="1:12" ht="15" customHeight="1" x14ac:dyDescent="0.25">
      <c r="A201" s="130" t="s">
        <v>122</v>
      </c>
      <c r="B201" s="131"/>
      <c r="C201" s="132"/>
      <c r="D201" s="133"/>
      <c r="E201" s="134"/>
      <c r="F201" s="18"/>
      <c r="G201" s="19"/>
      <c r="H201" s="19"/>
      <c r="I201" s="19"/>
      <c r="J201" s="19"/>
      <c r="K201" s="20"/>
      <c r="L201" s="18"/>
    </row>
  </sheetData>
  <mergeCells count="394">
    <mergeCell ref="C48:L48"/>
    <mergeCell ref="C28:L28"/>
    <mergeCell ref="A196:B196"/>
    <mergeCell ref="C196:E196"/>
    <mergeCell ref="A151:B151"/>
    <mergeCell ref="C151:E151"/>
    <mergeCell ref="A159:B159"/>
    <mergeCell ref="C159:E159"/>
    <mergeCell ref="A164:B164"/>
    <mergeCell ref="C164:E164"/>
    <mergeCell ref="A141:B141"/>
    <mergeCell ref="C141:E141"/>
    <mergeCell ref="A146:B146"/>
    <mergeCell ref="C146:E146"/>
    <mergeCell ref="A147:B147"/>
    <mergeCell ref="C147:E147"/>
    <mergeCell ref="A144:B144"/>
    <mergeCell ref="C162:L162"/>
    <mergeCell ref="C144:L144"/>
    <mergeCell ref="A38:B38"/>
    <mergeCell ref="C38:E38"/>
    <mergeCell ref="A39:B39"/>
    <mergeCell ref="C39:E39"/>
    <mergeCell ref="A40:B40"/>
    <mergeCell ref="C40:E40"/>
    <mergeCell ref="A41:B41"/>
    <mergeCell ref="C41:E41"/>
    <mergeCell ref="A47:B47"/>
    <mergeCell ref="C47:E47"/>
    <mergeCell ref="A45:B45"/>
    <mergeCell ref="C45:E45"/>
    <mergeCell ref="A42:B42"/>
    <mergeCell ref="C42:E42"/>
    <mergeCell ref="A43:B43"/>
    <mergeCell ref="C43:E43"/>
    <mergeCell ref="A145:B145"/>
    <mergeCell ref="C145:E145"/>
    <mergeCell ref="A150:B150"/>
    <mergeCell ref="C150:E150"/>
    <mergeCell ref="A44:B44"/>
    <mergeCell ref="C44:E44"/>
    <mergeCell ref="A48:B48"/>
    <mergeCell ref="A52:B52"/>
    <mergeCell ref="A53:B53"/>
    <mergeCell ref="A54:B54"/>
    <mergeCell ref="C54:E54"/>
    <mergeCell ref="A142:B142"/>
    <mergeCell ref="C142:E142"/>
    <mergeCell ref="A143:B143"/>
    <mergeCell ref="C143:E143"/>
    <mergeCell ref="A88:B88"/>
    <mergeCell ref="C88:E88"/>
    <mergeCell ref="A90:B90"/>
    <mergeCell ref="C90:E90"/>
    <mergeCell ref="A49:B49"/>
    <mergeCell ref="C49:E49"/>
    <mergeCell ref="A50:B50"/>
    <mergeCell ref="C50:E50"/>
    <mergeCell ref="A51:B51"/>
    <mergeCell ref="L5:L7"/>
    <mergeCell ref="A8:B8"/>
    <mergeCell ref="C8:L8"/>
    <mergeCell ref="A9:B9"/>
    <mergeCell ref="C9:L9"/>
    <mergeCell ref="A1:C1"/>
    <mergeCell ref="K1:L1"/>
    <mergeCell ref="I2:L2"/>
    <mergeCell ref="A4:L4"/>
    <mergeCell ref="A5:B7"/>
    <mergeCell ref="C5:E7"/>
    <mergeCell ref="F5:F7"/>
    <mergeCell ref="G5:I6"/>
    <mergeCell ref="J5:J7"/>
    <mergeCell ref="A20:B20"/>
    <mergeCell ref="C20:E20"/>
    <mergeCell ref="A10:B10"/>
    <mergeCell ref="C10:E10"/>
    <mergeCell ref="A11:B11"/>
    <mergeCell ref="C11:E11"/>
    <mergeCell ref="A12:B12"/>
    <mergeCell ref="C12:E12"/>
    <mergeCell ref="K5:K7"/>
    <mergeCell ref="A16:B16"/>
    <mergeCell ref="C16:E16"/>
    <mergeCell ref="A19:B19"/>
    <mergeCell ref="C19:E19"/>
    <mergeCell ref="A13:B13"/>
    <mergeCell ref="C13:E13"/>
    <mergeCell ref="A14:B14"/>
    <mergeCell ref="C14:E14"/>
    <mergeCell ref="A15:B15"/>
    <mergeCell ref="C15:E15"/>
    <mergeCell ref="C17:E17"/>
    <mergeCell ref="A17:B17"/>
    <mergeCell ref="A18:B18"/>
    <mergeCell ref="C18:E18"/>
    <mergeCell ref="A26:B26"/>
    <mergeCell ref="C26:E26"/>
    <mergeCell ref="A21:B21"/>
    <mergeCell ref="C21:E21"/>
    <mergeCell ref="A23:B23"/>
    <mergeCell ref="C23:E23"/>
    <mergeCell ref="A24:B24"/>
    <mergeCell ref="C24:E24"/>
    <mergeCell ref="A22:B22"/>
    <mergeCell ref="C22:E22"/>
    <mergeCell ref="A25:B25"/>
    <mergeCell ref="C25:E25"/>
    <mergeCell ref="A27:B27"/>
    <mergeCell ref="C27:E27"/>
    <mergeCell ref="A28:B28"/>
    <mergeCell ref="A35:B35"/>
    <mergeCell ref="C35:E35"/>
    <mergeCell ref="A36:B36"/>
    <mergeCell ref="C36:E36"/>
    <mergeCell ref="A37:B37"/>
    <mergeCell ref="C37:E37"/>
    <mergeCell ref="A29:B29"/>
    <mergeCell ref="C29:E29"/>
    <mergeCell ref="A30:B30"/>
    <mergeCell ref="C30:E30"/>
    <mergeCell ref="A32:B32"/>
    <mergeCell ref="C32:E32"/>
    <mergeCell ref="A33:B33"/>
    <mergeCell ref="C33:E33"/>
    <mergeCell ref="A34:B34"/>
    <mergeCell ref="C34:E34"/>
    <mergeCell ref="A31:B31"/>
    <mergeCell ref="C31:E31"/>
    <mergeCell ref="C51:E51"/>
    <mergeCell ref="A62:B62"/>
    <mergeCell ref="C62:E62"/>
    <mergeCell ref="A60:B60"/>
    <mergeCell ref="C60:E60"/>
    <mergeCell ref="A61:B61"/>
    <mergeCell ref="C61:E61"/>
    <mergeCell ref="A58:B58"/>
    <mergeCell ref="C58:E58"/>
    <mergeCell ref="A59:B59"/>
    <mergeCell ref="C59:E59"/>
    <mergeCell ref="C53:E53"/>
    <mergeCell ref="C52:E52"/>
    <mergeCell ref="A65:B65"/>
    <mergeCell ref="C65:E65"/>
    <mergeCell ref="A67:B67"/>
    <mergeCell ref="C67:E67"/>
    <mergeCell ref="A55:B55"/>
    <mergeCell ref="C55:E55"/>
    <mergeCell ref="A56:B56"/>
    <mergeCell ref="C56:E56"/>
    <mergeCell ref="A57:B57"/>
    <mergeCell ref="C57:E57"/>
    <mergeCell ref="A64:B64"/>
    <mergeCell ref="C64:E64"/>
    <mergeCell ref="C63:E63"/>
    <mergeCell ref="A63:B63"/>
    <mergeCell ref="A66:B66"/>
    <mergeCell ref="C66:E66"/>
    <mergeCell ref="A84:B84"/>
    <mergeCell ref="C84:E84"/>
    <mergeCell ref="A74:B74"/>
    <mergeCell ref="C74:E74"/>
    <mergeCell ref="A76:B76"/>
    <mergeCell ref="C76:E76"/>
    <mergeCell ref="A77:B77"/>
    <mergeCell ref="C77:E77"/>
    <mergeCell ref="A68:B68"/>
    <mergeCell ref="A69:B69"/>
    <mergeCell ref="C69:E69"/>
    <mergeCell ref="A71:B71"/>
    <mergeCell ref="C71:E71"/>
    <mergeCell ref="A70:B70"/>
    <mergeCell ref="C70:E70"/>
    <mergeCell ref="A72:B72"/>
    <mergeCell ref="C72:E72"/>
    <mergeCell ref="A73:B73"/>
    <mergeCell ref="C73:E73"/>
    <mergeCell ref="A75:B75"/>
    <mergeCell ref="C75:E75"/>
    <mergeCell ref="C68:L68"/>
    <mergeCell ref="A81:B81"/>
    <mergeCell ref="C81:E81"/>
    <mergeCell ref="A78:B78"/>
    <mergeCell ref="C78:E78"/>
    <mergeCell ref="A79:B79"/>
    <mergeCell ref="C79:E79"/>
    <mergeCell ref="A80:B80"/>
    <mergeCell ref="C80:E80"/>
    <mergeCell ref="A83:B83"/>
    <mergeCell ref="C83:E83"/>
    <mergeCell ref="A82:B82"/>
    <mergeCell ref="C82:E82"/>
    <mergeCell ref="A86:B86"/>
    <mergeCell ref="C86:E86"/>
    <mergeCell ref="A97:B97"/>
    <mergeCell ref="C97:E97"/>
    <mergeCell ref="A98:B98"/>
    <mergeCell ref="C98:E98"/>
    <mergeCell ref="A99:B99"/>
    <mergeCell ref="C99:E99"/>
    <mergeCell ref="A93:B93"/>
    <mergeCell ref="C93:E93"/>
    <mergeCell ref="A95:B95"/>
    <mergeCell ref="C95:E95"/>
    <mergeCell ref="A96:B96"/>
    <mergeCell ref="C96:E96"/>
    <mergeCell ref="A92:B92"/>
    <mergeCell ref="C92:E92"/>
    <mergeCell ref="A94:B94"/>
    <mergeCell ref="C94:E94"/>
    <mergeCell ref="A89:B89"/>
    <mergeCell ref="C89:E89"/>
    <mergeCell ref="A91:B91"/>
    <mergeCell ref="C91:E91"/>
    <mergeCell ref="A87:B87"/>
    <mergeCell ref="C87:L87"/>
    <mergeCell ref="A105:B105"/>
    <mergeCell ref="C105:E105"/>
    <mergeCell ref="A100:B100"/>
    <mergeCell ref="C100:E100"/>
    <mergeCell ref="A101:B101"/>
    <mergeCell ref="C101:E101"/>
    <mergeCell ref="A104:B104"/>
    <mergeCell ref="C104:E104"/>
    <mergeCell ref="A112:B112"/>
    <mergeCell ref="C112:E112"/>
    <mergeCell ref="A102:B102"/>
    <mergeCell ref="C102:E102"/>
    <mergeCell ref="C106:L106"/>
    <mergeCell ref="A114:B114"/>
    <mergeCell ref="C114:E114"/>
    <mergeCell ref="A115:B115"/>
    <mergeCell ref="C115:E115"/>
    <mergeCell ref="A106:B106"/>
    <mergeCell ref="A107:B107"/>
    <mergeCell ref="C107:E107"/>
    <mergeCell ref="A111:B111"/>
    <mergeCell ref="C111:E111"/>
    <mergeCell ref="A108:B108"/>
    <mergeCell ref="C108:E108"/>
    <mergeCell ref="A109:B109"/>
    <mergeCell ref="C109:E109"/>
    <mergeCell ref="A110:B110"/>
    <mergeCell ref="C110:E110"/>
    <mergeCell ref="A113:B113"/>
    <mergeCell ref="C113:E113"/>
    <mergeCell ref="A119:B119"/>
    <mergeCell ref="C119:E119"/>
    <mergeCell ref="A120:B120"/>
    <mergeCell ref="C120:E120"/>
    <mergeCell ref="A122:B122"/>
    <mergeCell ref="C122:E122"/>
    <mergeCell ref="A116:B116"/>
    <mergeCell ref="C116:E116"/>
    <mergeCell ref="A117:B117"/>
    <mergeCell ref="C117:E117"/>
    <mergeCell ref="A118:B118"/>
    <mergeCell ref="C118:E118"/>
    <mergeCell ref="A121:B121"/>
    <mergeCell ref="C121:E121"/>
    <mergeCell ref="A126:B126"/>
    <mergeCell ref="C126:E126"/>
    <mergeCell ref="A132:B132"/>
    <mergeCell ref="C132:E132"/>
    <mergeCell ref="A134:B134"/>
    <mergeCell ref="C134:E134"/>
    <mergeCell ref="A124:B124"/>
    <mergeCell ref="C124:E124"/>
    <mergeCell ref="A125:B125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33:B133"/>
    <mergeCell ref="C133:E133"/>
    <mergeCell ref="C125:L125"/>
    <mergeCell ref="A138:B138"/>
    <mergeCell ref="C138:E138"/>
    <mergeCell ref="A139:B139"/>
    <mergeCell ref="C139:E139"/>
    <mergeCell ref="A140:B140"/>
    <mergeCell ref="C140:E140"/>
    <mergeCell ref="A135:B135"/>
    <mergeCell ref="C135:E135"/>
    <mergeCell ref="A136:B136"/>
    <mergeCell ref="C136:E136"/>
    <mergeCell ref="A137:B137"/>
    <mergeCell ref="C137:E137"/>
    <mergeCell ref="A148:B148"/>
    <mergeCell ref="C148:E148"/>
    <mergeCell ref="A149:B149"/>
    <mergeCell ref="C149:E149"/>
    <mergeCell ref="A155:B155"/>
    <mergeCell ref="C155:E155"/>
    <mergeCell ref="A156:B156"/>
    <mergeCell ref="C156:E156"/>
    <mergeCell ref="A157:B157"/>
    <mergeCell ref="C157:E157"/>
    <mergeCell ref="A152:B152"/>
    <mergeCell ref="C152:E152"/>
    <mergeCell ref="A153:B153"/>
    <mergeCell ref="C153:E153"/>
    <mergeCell ref="A154:B154"/>
    <mergeCell ref="C154:E154"/>
    <mergeCell ref="A161:B161"/>
    <mergeCell ref="C161:E161"/>
    <mergeCell ref="A162:B162"/>
    <mergeCell ref="A158:B158"/>
    <mergeCell ref="C158:E158"/>
    <mergeCell ref="A160:B160"/>
    <mergeCell ref="C160:E160"/>
    <mergeCell ref="A171:B171"/>
    <mergeCell ref="C171:E171"/>
    <mergeCell ref="A172:B172"/>
    <mergeCell ref="C172:E172"/>
    <mergeCell ref="A173:B173"/>
    <mergeCell ref="C173:E173"/>
    <mergeCell ref="A163:B163"/>
    <mergeCell ref="C163:E163"/>
    <mergeCell ref="A168:B168"/>
    <mergeCell ref="C168:E168"/>
    <mergeCell ref="A170:B170"/>
    <mergeCell ref="C170:E170"/>
    <mergeCell ref="A165:B165"/>
    <mergeCell ref="C165:E165"/>
    <mergeCell ref="A166:B166"/>
    <mergeCell ref="C166:E166"/>
    <mergeCell ref="A167:B167"/>
    <mergeCell ref="C167:E167"/>
    <mergeCell ref="A169:B169"/>
    <mergeCell ref="C169:E169"/>
    <mergeCell ref="A178:B178"/>
    <mergeCell ref="C178:E178"/>
    <mergeCell ref="A174:B174"/>
    <mergeCell ref="C174:E174"/>
    <mergeCell ref="A175:B175"/>
    <mergeCell ref="C175:E175"/>
    <mergeCell ref="A177:B177"/>
    <mergeCell ref="C177:E177"/>
    <mergeCell ref="A176:B176"/>
    <mergeCell ref="C176:E176"/>
    <mergeCell ref="A180:B180"/>
    <mergeCell ref="C180:E180"/>
    <mergeCell ref="A181:B181"/>
    <mergeCell ref="A183:B183"/>
    <mergeCell ref="C183:E183"/>
    <mergeCell ref="A184:B184"/>
    <mergeCell ref="C184:E184"/>
    <mergeCell ref="A185:B185"/>
    <mergeCell ref="C185:E185"/>
    <mergeCell ref="C181:L181"/>
    <mergeCell ref="C191:E191"/>
    <mergeCell ref="A192:B192"/>
    <mergeCell ref="C192:E192"/>
    <mergeCell ref="A182:B182"/>
    <mergeCell ref="C182:E182"/>
    <mergeCell ref="A187:B187"/>
    <mergeCell ref="C187:E187"/>
    <mergeCell ref="A189:B189"/>
    <mergeCell ref="C189:E189"/>
    <mergeCell ref="A186:B186"/>
    <mergeCell ref="C186:E186"/>
    <mergeCell ref="A188:B188"/>
    <mergeCell ref="C188:E188"/>
    <mergeCell ref="C85:E85"/>
    <mergeCell ref="A85:B85"/>
    <mergeCell ref="A103:B103"/>
    <mergeCell ref="C103:E103"/>
    <mergeCell ref="C123:E123"/>
    <mergeCell ref="C179:E179"/>
    <mergeCell ref="A200:B200"/>
    <mergeCell ref="C200:E200"/>
    <mergeCell ref="A201:B201"/>
    <mergeCell ref="C201:E201"/>
    <mergeCell ref="A197:B197"/>
    <mergeCell ref="C197:E197"/>
    <mergeCell ref="C198:E198"/>
    <mergeCell ref="A199:B199"/>
    <mergeCell ref="C199:E199"/>
    <mergeCell ref="A193:B193"/>
    <mergeCell ref="C193:E193"/>
    <mergeCell ref="A194:B194"/>
    <mergeCell ref="C194:E194"/>
    <mergeCell ref="A195:B195"/>
    <mergeCell ref="C195:E195"/>
    <mergeCell ref="A190:B190"/>
    <mergeCell ref="C190:E190"/>
    <mergeCell ref="A191:B191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opLeftCell="A40" workbookViewId="0">
      <selection activeCell="J180" sqref="J180"/>
    </sheetView>
  </sheetViews>
  <sheetFormatPr defaultRowHeight="15" x14ac:dyDescent="0.25"/>
  <cols>
    <col min="5" max="5" width="38.5703125" customWidth="1"/>
  </cols>
  <sheetData>
    <row r="1" spans="1:12" ht="15" customHeight="1" x14ac:dyDescent="0.25">
      <c r="A1" s="117"/>
      <c r="B1" s="117"/>
      <c r="C1" s="117"/>
      <c r="D1" s="5"/>
      <c r="E1" s="5"/>
      <c r="F1" s="5"/>
      <c r="G1" s="5"/>
      <c r="H1" s="5"/>
      <c r="I1" s="5"/>
      <c r="J1" s="5"/>
      <c r="K1" s="177" t="s">
        <v>93</v>
      </c>
      <c r="L1" s="177"/>
    </row>
    <row r="2" spans="1:12" ht="50.25" customHeight="1" x14ac:dyDescent="0.25">
      <c r="A2" s="6"/>
      <c r="B2" s="6"/>
      <c r="C2" s="6"/>
      <c r="D2" s="6"/>
      <c r="E2" s="6"/>
      <c r="F2" s="6"/>
      <c r="G2" s="6"/>
      <c r="H2" s="6"/>
      <c r="I2" s="118" t="s">
        <v>314</v>
      </c>
      <c r="J2" s="118"/>
      <c r="K2" s="118"/>
      <c r="L2" s="118"/>
    </row>
    <row r="3" spans="1:12" x14ac:dyDescent="0.25">
      <c r="A3" s="7"/>
      <c r="B3" s="7"/>
      <c r="C3" s="7"/>
      <c r="D3" s="7"/>
      <c r="E3" s="7"/>
      <c r="F3" s="7"/>
      <c r="G3" s="7"/>
      <c r="H3" s="7"/>
      <c r="I3" s="31"/>
      <c r="J3" s="31"/>
      <c r="K3" s="31"/>
      <c r="L3" s="31"/>
    </row>
    <row r="4" spans="1:12" ht="15" customHeight="1" x14ac:dyDescent="0.25">
      <c r="A4" s="178" t="s">
        <v>194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5" customHeight="1" x14ac:dyDescent="0.25">
      <c r="A5" s="180" t="s">
        <v>95</v>
      </c>
      <c r="B5" s="181"/>
      <c r="C5" s="180" t="s">
        <v>96</v>
      </c>
      <c r="D5" s="186"/>
      <c r="E5" s="181"/>
      <c r="F5" s="170" t="s">
        <v>97</v>
      </c>
      <c r="G5" s="189" t="s">
        <v>98</v>
      </c>
      <c r="H5" s="190"/>
      <c r="I5" s="191"/>
      <c r="J5" s="195" t="s">
        <v>99</v>
      </c>
      <c r="K5" s="170" t="s">
        <v>100</v>
      </c>
      <c r="L5" s="170" t="s">
        <v>101</v>
      </c>
    </row>
    <row r="6" spans="1:12" x14ac:dyDescent="0.25">
      <c r="A6" s="182"/>
      <c r="B6" s="183"/>
      <c r="C6" s="182"/>
      <c r="D6" s="187"/>
      <c r="E6" s="183"/>
      <c r="F6" s="171"/>
      <c r="G6" s="192"/>
      <c r="H6" s="193"/>
      <c r="I6" s="194"/>
      <c r="J6" s="196"/>
      <c r="K6" s="171"/>
      <c r="L6" s="171"/>
    </row>
    <row r="7" spans="1:12" x14ac:dyDescent="0.25">
      <c r="A7" s="184"/>
      <c r="B7" s="185"/>
      <c r="C7" s="184"/>
      <c r="D7" s="188"/>
      <c r="E7" s="185"/>
      <c r="F7" s="172"/>
      <c r="G7" s="8" t="s">
        <v>102</v>
      </c>
      <c r="H7" s="8" t="s">
        <v>103</v>
      </c>
      <c r="I7" s="8" t="s">
        <v>104</v>
      </c>
      <c r="J7" s="197"/>
      <c r="K7" s="172"/>
      <c r="L7" s="172"/>
    </row>
    <row r="8" spans="1:12" x14ac:dyDescent="0.25">
      <c r="A8" s="173"/>
      <c r="B8" s="174"/>
      <c r="C8" s="162" t="s">
        <v>123</v>
      </c>
      <c r="D8" s="175"/>
      <c r="E8" s="175"/>
      <c r="F8" s="175"/>
      <c r="G8" s="175"/>
      <c r="H8" s="175"/>
      <c r="I8" s="175"/>
      <c r="J8" s="175"/>
      <c r="K8" s="175"/>
      <c r="L8" s="176"/>
    </row>
    <row r="9" spans="1:12" ht="15" customHeight="1" x14ac:dyDescent="0.25">
      <c r="A9" s="157" t="s">
        <v>106</v>
      </c>
      <c r="B9" s="158"/>
      <c r="C9" s="173" t="s">
        <v>139</v>
      </c>
      <c r="D9" s="133"/>
      <c r="E9" s="133"/>
      <c r="F9" s="133"/>
      <c r="G9" s="133"/>
      <c r="H9" s="133"/>
      <c r="I9" s="133"/>
      <c r="J9" s="133"/>
      <c r="K9" s="133"/>
      <c r="L9" s="134"/>
    </row>
    <row r="10" spans="1:12" x14ac:dyDescent="0.25">
      <c r="A10" s="143" t="s">
        <v>107</v>
      </c>
      <c r="B10" s="144"/>
      <c r="C10" s="125" t="s">
        <v>13</v>
      </c>
      <c r="D10" s="126"/>
      <c r="E10" s="127"/>
      <c r="F10" s="9">
        <v>200</v>
      </c>
      <c r="G10" s="10">
        <f>24.85/1000*200</f>
        <v>4.97</v>
      </c>
      <c r="H10" s="10">
        <f>25.51/1000*200</f>
        <v>5.1020000000000003</v>
      </c>
      <c r="I10" s="10">
        <f>82.51/1000*200</f>
        <v>16.501999999999999</v>
      </c>
      <c r="J10" s="10">
        <f>659/1000*200</f>
        <v>131.80000000000001</v>
      </c>
      <c r="K10" s="11">
        <f>4.55/1000*200</f>
        <v>0.91</v>
      </c>
      <c r="L10" s="14">
        <v>94</v>
      </c>
    </row>
    <row r="11" spans="1:12" x14ac:dyDescent="0.25">
      <c r="A11" s="125"/>
      <c r="B11" s="127"/>
      <c r="C11" s="125" t="s">
        <v>126</v>
      </c>
      <c r="D11" s="126"/>
      <c r="E11" s="127"/>
      <c r="F11" s="9">
        <v>45</v>
      </c>
      <c r="G11" s="10">
        <v>4.79</v>
      </c>
      <c r="H11" s="10">
        <v>6.32</v>
      </c>
      <c r="I11" s="10">
        <v>14.56</v>
      </c>
      <c r="J11" s="10">
        <v>134</v>
      </c>
      <c r="K11" s="11">
        <v>0.08</v>
      </c>
      <c r="L11" s="12">
        <v>3</v>
      </c>
    </row>
    <row r="12" spans="1:12" ht="15" customHeight="1" x14ac:dyDescent="0.25">
      <c r="A12" s="125"/>
      <c r="B12" s="127"/>
      <c r="C12" s="145" t="s">
        <v>164</v>
      </c>
      <c r="D12" s="146"/>
      <c r="E12" s="147"/>
      <c r="F12" s="9">
        <v>150</v>
      </c>
      <c r="G12" s="10">
        <v>3.15</v>
      </c>
      <c r="H12" s="10">
        <v>2.72</v>
      </c>
      <c r="I12" s="10">
        <v>12.96</v>
      </c>
      <c r="J12" s="10">
        <v>89</v>
      </c>
      <c r="K12" s="11">
        <v>1.2</v>
      </c>
      <c r="L12" s="9">
        <v>397</v>
      </c>
    </row>
    <row r="13" spans="1:12" ht="15" customHeight="1" x14ac:dyDescent="0.25">
      <c r="A13" s="125" t="s">
        <v>91</v>
      </c>
      <c r="B13" s="127"/>
      <c r="C13" s="159" t="s">
        <v>76</v>
      </c>
      <c r="D13" s="160"/>
      <c r="E13" s="161"/>
      <c r="F13" s="9">
        <v>180</v>
      </c>
      <c r="G13" s="10">
        <v>0.9</v>
      </c>
      <c r="H13" s="10">
        <v>0</v>
      </c>
      <c r="I13" s="10">
        <v>18.18</v>
      </c>
      <c r="J13" s="10">
        <v>76.81</v>
      </c>
      <c r="K13" s="11">
        <v>3.6</v>
      </c>
      <c r="L13" s="13">
        <v>399</v>
      </c>
    </row>
    <row r="14" spans="1:12" ht="15" customHeight="1" x14ac:dyDescent="0.25">
      <c r="A14" s="125"/>
      <c r="B14" s="127"/>
      <c r="C14" s="149" t="s">
        <v>124</v>
      </c>
      <c r="D14" s="150"/>
      <c r="E14" s="151"/>
      <c r="F14" s="9">
        <v>75</v>
      </c>
      <c r="G14" s="10">
        <v>0.52500000000000002</v>
      </c>
      <c r="H14" s="10">
        <v>0.1275</v>
      </c>
      <c r="I14" s="10">
        <v>16.3125</v>
      </c>
      <c r="J14" s="10">
        <v>68.4375</v>
      </c>
      <c r="K14" s="11">
        <v>9.84</v>
      </c>
      <c r="L14" s="9">
        <v>369</v>
      </c>
    </row>
    <row r="15" spans="1:12" ht="15" customHeight="1" x14ac:dyDescent="0.25">
      <c r="A15" s="125" t="s">
        <v>90</v>
      </c>
      <c r="B15" s="127"/>
      <c r="C15" s="145" t="s">
        <v>44</v>
      </c>
      <c r="D15" s="146"/>
      <c r="E15" s="147"/>
      <c r="F15" s="9">
        <v>200</v>
      </c>
      <c r="G15" s="10">
        <v>4.0999999999999996</v>
      </c>
      <c r="H15" s="10">
        <v>4.28</v>
      </c>
      <c r="I15" s="10">
        <v>12.9</v>
      </c>
      <c r="J15" s="10">
        <v>106.6</v>
      </c>
      <c r="K15" s="11">
        <v>4.66</v>
      </c>
      <c r="L15" s="9">
        <v>81</v>
      </c>
    </row>
    <row r="16" spans="1:12" ht="15" customHeight="1" x14ac:dyDescent="0.25">
      <c r="A16" s="125"/>
      <c r="B16" s="127"/>
      <c r="C16" s="125" t="s">
        <v>131</v>
      </c>
      <c r="D16" s="126"/>
      <c r="E16" s="127"/>
      <c r="F16" s="9">
        <v>60</v>
      </c>
      <c r="G16" s="10">
        <f>69.57/1000*60</f>
        <v>4.1741999999999999</v>
      </c>
      <c r="H16" s="10">
        <f>24.32/1000*60</f>
        <v>1.4592000000000001</v>
      </c>
      <c r="I16" s="10">
        <f>479.32/1000*60</f>
        <v>28.7592</v>
      </c>
      <c r="J16" s="10">
        <f>2414/1000*60</f>
        <v>144.84</v>
      </c>
      <c r="K16" s="11">
        <v>0</v>
      </c>
      <c r="L16" s="9">
        <v>453</v>
      </c>
    </row>
    <row r="17" spans="1:12" x14ac:dyDescent="0.25">
      <c r="A17" s="128"/>
      <c r="B17" s="129"/>
      <c r="C17" s="125" t="s">
        <v>37</v>
      </c>
      <c r="D17" s="126"/>
      <c r="E17" s="127"/>
      <c r="F17" s="9">
        <v>150</v>
      </c>
      <c r="G17" s="10">
        <v>8.6</v>
      </c>
      <c r="H17" s="10">
        <v>6.09</v>
      </c>
      <c r="I17" s="10">
        <v>38.64</v>
      </c>
      <c r="J17" s="10">
        <v>243.75</v>
      </c>
      <c r="K17" s="11">
        <v>0</v>
      </c>
      <c r="L17" s="9">
        <v>313</v>
      </c>
    </row>
    <row r="18" spans="1:12" x14ac:dyDescent="0.25">
      <c r="A18" s="128"/>
      <c r="B18" s="129"/>
      <c r="C18" s="125" t="s">
        <v>220</v>
      </c>
      <c r="D18" s="126"/>
      <c r="E18" s="127"/>
      <c r="F18" s="9">
        <v>160</v>
      </c>
      <c r="G18" s="10">
        <v>20.63</v>
      </c>
      <c r="H18" s="10">
        <v>16.3</v>
      </c>
      <c r="I18" s="10">
        <v>5.24</v>
      </c>
      <c r="J18" s="10">
        <v>250</v>
      </c>
      <c r="K18" s="11">
        <v>1.1100000000000001</v>
      </c>
      <c r="L18" s="9">
        <v>277</v>
      </c>
    </row>
    <row r="19" spans="1:12" ht="15" customHeight="1" x14ac:dyDescent="0.25">
      <c r="A19" s="128"/>
      <c r="B19" s="129"/>
      <c r="C19" s="125" t="s">
        <v>128</v>
      </c>
      <c r="D19" s="126"/>
      <c r="E19" s="127"/>
      <c r="F19" s="9">
        <v>60</v>
      </c>
      <c r="G19" s="10">
        <v>0.84</v>
      </c>
      <c r="H19" s="10">
        <v>3.05</v>
      </c>
      <c r="I19" s="10">
        <v>5.19</v>
      </c>
      <c r="J19" s="10">
        <v>51.54</v>
      </c>
      <c r="K19" s="11">
        <v>20.97</v>
      </c>
      <c r="L19" s="9">
        <v>20</v>
      </c>
    </row>
    <row r="20" spans="1:12" ht="15" customHeight="1" x14ac:dyDescent="0.25">
      <c r="A20" s="128"/>
      <c r="B20" s="129"/>
      <c r="C20" s="125" t="s">
        <v>62</v>
      </c>
      <c r="D20" s="126"/>
      <c r="E20" s="127"/>
      <c r="F20" s="9">
        <v>150</v>
      </c>
      <c r="G20" s="10">
        <v>0.51</v>
      </c>
      <c r="H20" s="10">
        <v>0.21</v>
      </c>
      <c r="I20" s="10">
        <v>14.23</v>
      </c>
      <c r="J20" s="10">
        <v>61</v>
      </c>
      <c r="K20" s="11">
        <v>75</v>
      </c>
      <c r="L20" s="9">
        <v>398</v>
      </c>
    </row>
    <row r="21" spans="1:12" x14ac:dyDescent="0.25">
      <c r="A21" s="125"/>
      <c r="B21" s="127"/>
      <c r="C21" s="125" t="s">
        <v>129</v>
      </c>
      <c r="D21" s="126"/>
      <c r="E21" s="127"/>
      <c r="F21" s="9">
        <v>150</v>
      </c>
      <c r="G21" s="10">
        <v>6.0750000000000002</v>
      </c>
      <c r="H21" s="10">
        <v>6.3</v>
      </c>
      <c r="I21" s="10">
        <v>33.6</v>
      </c>
      <c r="J21" s="10">
        <v>215.25</v>
      </c>
      <c r="K21" s="11">
        <v>0.375</v>
      </c>
      <c r="L21" s="12">
        <v>199</v>
      </c>
    </row>
    <row r="22" spans="1:12" x14ac:dyDescent="0.25">
      <c r="A22" s="125"/>
      <c r="B22" s="127"/>
      <c r="C22" s="125" t="s">
        <v>263</v>
      </c>
      <c r="D22" s="126"/>
      <c r="E22" s="127"/>
      <c r="F22" s="99">
        <v>15</v>
      </c>
      <c r="G22" s="100">
        <v>0.31</v>
      </c>
      <c r="H22" s="100">
        <v>0.79</v>
      </c>
      <c r="I22" s="100">
        <v>1.06</v>
      </c>
      <c r="J22" s="100">
        <v>12.57</v>
      </c>
      <c r="K22" s="101">
        <v>4.8000000000000001E-2</v>
      </c>
      <c r="L22" s="99">
        <v>350</v>
      </c>
    </row>
    <row r="23" spans="1:12" ht="15" customHeight="1" x14ac:dyDescent="0.25">
      <c r="A23" s="125" t="s">
        <v>89</v>
      </c>
      <c r="B23" s="127"/>
      <c r="C23" s="125" t="s">
        <v>35</v>
      </c>
      <c r="D23" s="126"/>
      <c r="E23" s="127"/>
      <c r="F23" s="9">
        <v>200</v>
      </c>
      <c r="G23" s="10">
        <v>19.059999999999999</v>
      </c>
      <c r="H23" s="10">
        <v>15.62</v>
      </c>
      <c r="I23" s="10">
        <v>12.98</v>
      </c>
      <c r="J23" s="10">
        <v>266.24</v>
      </c>
      <c r="K23" s="11">
        <v>4.3600000000000003</v>
      </c>
      <c r="L23" s="9">
        <v>274</v>
      </c>
    </row>
    <row r="24" spans="1:12" ht="15" customHeight="1" x14ac:dyDescent="0.25">
      <c r="A24" s="125"/>
      <c r="B24" s="127"/>
      <c r="C24" s="125" t="s">
        <v>133</v>
      </c>
      <c r="D24" s="126"/>
      <c r="E24" s="127"/>
      <c r="F24" s="9">
        <v>40</v>
      </c>
      <c r="G24" s="10">
        <f>69.57/1000*40</f>
        <v>2.7827999999999999</v>
      </c>
      <c r="H24" s="10">
        <f>24.32/1000*40</f>
        <v>0.97280000000000011</v>
      </c>
      <c r="I24" s="10">
        <f>479.32/1000*40</f>
        <v>19.172799999999999</v>
      </c>
      <c r="J24" s="10">
        <f>2414/1000*40</f>
        <v>96.56</v>
      </c>
      <c r="K24" s="11">
        <v>0</v>
      </c>
      <c r="L24" s="9">
        <v>453</v>
      </c>
    </row>
    <row r="25" spans="1:12" x14ac:dyDescent="0.25">
      <c r="A25" s="125"/>
      <c r="B25" s="127"/>
      <c r="C25" s="125" t="s">
        <v>163</v>
      </c>
      <c r="D25" s="126"/>
      <c r="E25" s="127"/>
      <c r="F25" s="9">
        <v>150</v>
      </c>
      <c r="G25" s="10">
        <v>0.14000000000000001</v>
      </c>
      <c r="H25" s="10">
        <v>0.01</v>
      </c>
      <c r="I25" s="10">
        <v>9.6199999999999992</v>
      </c>
      <c r="J25" s="10">
        <v>39</v>
      </c>
      <c r="K25" s="11">
        <v>0.02</v>
      </c>
      <c r="L25" s="9">
        <v>392</v>
      </c>
    </row>
    <row r="26" spans="1:12" ht="15" customHeight="1" x14ac:dyDescent="0.25">
      <c r="A26" s="152" t="s">
        <v>108</v>
      </c>
      <c r="B26" s="153"/>
      <c r="C26" s="154"/>
      <c r="D26" s="155"/>
      <c r="E26" s="156"/>
      <c r="F26" s="15">
        <f t="shared" ref="F26:K26" si="0">SUM(F10:F25)</f>
        <v>1985</v>
      </c>
      <c r="G26" s="16">
        <f t="shared" si="0"/>
        <v>81.557000000000002</v>
      </c>
      <c r="H26" s="16">
        <f t="shared" si="0"/>
        <v>69.351500000000016</v>
      </c>
      <c r="I26" s="16">
        <f t="shared" si="0"/>
        <v>259.90649999999994</v>
      </c>
      <c r="J26" s="16">
        <f t="shared" si="0"/>
        <v>1987.3975</v>
      </c>
      <c r="K26" s="17">
        <f t="shared" si="0"/>
        <v>122.173</v>
      </c>
      <c r="L26" s="15"/>
    </row>
    <row r="27" spans="1:12" ht="15" customHeight="1" x14ac:dyDescent="0.25">
      <c r="A27" s="157" t="s">
        <v>125</v>
      </c>
      <c r="B27" s="158"/>
      <c r="C27" s="173" t="s">
        <v>140</v>
      </c>
      <c r="D27" s="133"/>
      <c r="E27" s="134"/>
      <c r="F27" s="18"/>
      <c r="G27" s="19"/>
      <c r="H27" s="19"/>
      <c r="I27" s="19"/>
      <c r="J27" s="19"/>
      <c r="K27" s="20"/>
      <c r="L27" s="18"/>
    </row>
    <row r="28" spans="1:12" x14ac:dyDescent="0.25">
      <c r="A28" s="143" t="s">
        <v>107</v>
      </c>
      <c r="B28" s="144"/>
      <c r="C28" s="125" t="s">
        <v>12</v>
      </c>
      <c r="D28" s="126"/>
      <c r="E28" s="127"/>
      <c r="F28" s="9">
        <v>200</v>
      </c>
      <c r="G28" s="10">
        <v>7.4</v>
      </c>
      <c r="H28" s="10">
        <v>7.48</v>
      </c>
      <c r="I28" s="10">
        <v>36.5</v>
      </c>
      <c r="J28" s="10">
        <v>243</v>
      </c>
      <c r="K28" s="11">
        <v>1.34</v>
      </c>
      <c r="L28" s="14" t="s">
        <v>160</v>
      </c>
    </row>
    <row r="29" spans="1:12" ht="15" customHeight="1" x14ac:dyDescent="0.25">
      <c r="A29" s="125"/>
      <c r="B29" s="127"/>
      <c r="C29" s="125" t="s">
        <v>134</v>
      </c>
      <c r="D29" s="126"/>
      <c r="E29" s="127"/>
      <c r="F29" s="9">
        <v>40</v>
      </c>
      <c r="G29" s="10">
        <v>2.4500000000000002</v>
      </c>
      <c r="H29" s="10">
        <v>7.55</v>
      </c>
      <c r="I29" s="10">
        <v>14.62</v>
      </c>
      <c r="J29" s="10">
        <v>136</v>
      </c>
      <c r="K29" s="11">
        <v>0</v>
      </c>
      <c r="L29" s="12">
        <v>1</v>
      </c>
    </row>
    <row r="30" spans="1:12" ht="15" customHeight="1" x14ac:dyDescent="0.25">
      <c r="A30" s="125"/>
      <c r="B30" s="127"/>
      <c r="C30" s="125" t="s">
        <v>174</v>
      </c>
      <c r="D30" s="126"/>
      <c r="E30" s="127"/>
      <c r="F30" s="9">
        <v>40</v>
      </c>
      <c r="G30" s="10">
        <v>5.12</v>
      </c>
      <c r="H30" s="10">
        <v>8.8800000000000008</v>
      </c>
      <c r="I30" s="10">
        <v>0.6</v>
      </c>
      <c r="J30" s="10">
        <v>103</v>
      </c>
      <c r="K30" s="11">
        <v>0</v>
      </c>
      <c r="L30" s="12">
        <v>9</v>
      </c>
    </row>
    <row r="31" spans="1:12" ht="15" customHeight="1" x14ac:dyDescent="0.25">
      <c r="A31" s="125"/>
      <c r="B31" s="127"/>
      <c r="C31" s="145" t="s">
        <v>165</v>
      </c>
      <c r="D31" s="146"/>
      <c r="E31" s="147"/>
      <c r="F31" s="9">
        <v>150</v>
      </c>
      <c r="G31" s="10">
        <v>0.04</v>
      </c>
      <c r="H31" s="10">
        <v>0.01</v>
      </c>
      <c r="I31" s="10">
        <v>6.99</v>
      </c>
      <c r="J31" s="10">
        <v>28</v>
      </c>
      <c r="K31" s="11">
        <v>0.02</v>
      </c>
      <c r="L31" s="9">
        <v>392</v>
      </c>
    </row>
    <row r="32" spans="1:12" ht="15" customHeight="1" x14ac:dyDescent="0.25">
      <c r="A32" s="125" t="s">
        <v>91</v>
      </c>
      <c r="B32" s="127"/>
      <c r="C32" s="159" t="s">
        <v>75</v>
      </c>
      <c r="D32" s="160"/>
      <c r="E32" s="161"/>
      <c r="F32" s="9">
        <v>150</v>
      </c>
      <c r="G32" s="10">
        <v>4.58</v>
      </c>
      <c r="H32" s="10">
        <v>4.08</v>
      </c>
      <c r="I32" s="10">
        <v>7.58</v>
      </c>
      <c r="J32" s="10">
        <v>85</v>
      </c>
      <c r="K32" s="11">
        <v>2.0499999999999998</v>
      </c>
      <c r="L32" s="13">
        <v>400</v>
      </c>
    </row>
    <row r="33" spans="1:12" ht="15" customHeight="1" x14ac:dyDescent="0.25">
      <c r="A33" s="125"/>
      <c r="B33" s="127"/>
      <c r="C33" s="149" t="s">
        <v>68</v>
      </c>
      <c r="D33" s="150"/>
      <c r="E33" s="151"/>
      <c r="F33" s="9">
        <v>180</v>
      </c>
      <c r="G33" s="10">
        <v>5.22</v>
      </c>
      <c r="H33" s="10">
        <v>4.5</v>
      </c>
      <c r="I33" s="10">
        <v>7.2</v>
      </c>
      <c r="J33" s="10">
        <v>90</v>
      </c>
      <c r="K33" s="11">
        <v>1.26</v>
      </c>
      <c r="L33" s="9">
        <v>401</v>
      </c>
    </row>
    <row r="34" spans="1:12" ht="15" customHeight="1" x14ac:dyDescent="0.25">
      <c r="A34" s="125" t="s">
        <v>90</v>
      </c>
      <c r="B34" s="127"/>
      <c r="C34" s="145" t="s">
        <v>40</v>
      </c>
      <c r="D34" s="146"/>
      <c r="E34" s="147"/>
      <c r="F34" s="9">
        <v>250</v>
      </c>
      <c r="G34" s="10">
        <v>9.9</v>
      </c>
      <c r="H34" s="10">
        <v>7.27</v>
      </c>
      <c r="I34" s="10">
        <v>13.73</v>
      </c>
      <c r="J34" s="10">
        <v>16</v>
      </c>
      <c r="K34" s="11">
        <v>15.62</v>
      </c>
      <c r="L34" s="9">
        <v>62</v>
      </c>
    </row>
    <row r="35" spans="1:12" x14ac:dyDescent="0.25">
      <c r="A35" s="125"/>
      <c r="B35" s="127"/>
      <c r="C35" s="125" t="s">
        <v>131</v>
      </c>
      <c r="D35" s="126"/>
      <c r="E35" s="127"/>
      <c r="F35" s="9">
        <v>40</v>
      </c>
      <c r="G35" s="10">
        <v>2.78</v>
      </c>
      <c r="H35" s="10">
        <v>0.97</v>
      </c>
      <c r="I35" s="10">
        <v>19.170000000000002</v>
      </c>
      <c r="J35" s="10">
        <v>96.56</v>
      </c>
      <c r="K35" s="11">
        <v>0</v>
      </c>
      <c r="L35" s="9">
        <v>453</v>
      </c>
    </row>
    <row r="36" spans="1:12" x14ac:dyDescent="0.25">
      <c r="A36" s="128"/>
      <c r="B36" s="129"/>
      <c r="C36" s="125" t="s">
        <v>33</v>
      </c>
      <c r="D36" s="126"/>
      <c r="E36" s="127"/>
      <c r="F36" s="9">
        <v>150</v>
      </c>
      <c r="G36" s="10">
        <v>5.51</v>
      </c>
      <c r="H36" s="10">
        <v>4.5199999999999996</v>
      </c>
      <c r="I36" s="10">
        <v>26.45</v>
      </c>
      <c r="J36" s="10">
        <v>168.45</v>
      </c>
      <c r="K36" s="11">
        <v>0</v>
      </c>
      <c r="L36" s="9">
        <v>317</v>
      </c>
    </row>
    <row r="37" spans="1:12" x14ac:dyDescent="0.25">
      <c r="A37" s="128"/>
      <c r="B37" s="129"/>
      <c r="C37" s="125" t="s">
        <v>258</v>
      </c>
      <c r="D37" s="126"/>
      <c r="E37" s="127"/>
      <c r="F37" s="9">
        <v>50</v>
      </c>
      <c r="G37" s="10">
        <v>5.5</v>
      </c>
      <c r="H37" s="10">
        <v>11.95</v>
      </c>
      <c r="I37" s="10">
        <v>0.2</v>
      </c>
      <c r="J37" s="10">
        <v>130</v>
      </c>
      <c r="K37" s="11">
        <v>0</v>
      </c>
      <c r="L37" s="9">
        <v>275</v>
      </c>
    </row>
    <row r="38" spans="1:12" ht="15" customHeight="1" x14ac:dyDescent="0.25">
      <c r="A38" s="128"/>
      <c r="B38" s="129"/>
      <c r="C38" s="125" t="s">
        <v>24</v>
      </c>
      <c r="D38" s="126"/>
      <c r="E38" s="127"/>
      <c r="F38" s="9">
        <v>15</v>
      </c>
      <c r="G38" s="10">
        <v>0.17</v>
      </c>
      <c r="H38" s="10">
        <v>0.63</v>
      </c>
      <c r="I38" s="10">
        <v>1.2</v>
      </c>
      <c r="J38" s="10">
        <v>11.18</v>
      </c>
      <c r="K38" s="11">
        <v>0.36</v>
      </c>
      <c r="L38" s="9">
        <v>348</v>
      </c>
    </row>
    <row r="39" spans="1:12" ht="15" customHeight="1" x14ac:dyDescent="0.25">
      <c r="A39" s="128"/>
      <c r="B39" s="129"/>
      <c r="C39" s="125" t="s">
        <v>156</v>
      </c>
      <c r="D39" s="126"/>
      <c r="E39" s="127"/>
      <c r="F39" s="9">
        <v>60</v>
      </c>
      <c r="G39" s="10">
        <v>0.6</v>
      </c>
      <c r="H39" s="10">
        <v>3.69</v>
      </c>
      <c r="I39" s="10">
        <v>2.2400000000000002</v>
      </c>
      <c r="J39" s="10">
        <v>44.52</v>
      </c>
      <c r="K39" s="11">
        <v>100.6</v>
      </c>
      <c r="L39" s="9">
        <v>15</v>
      </c>
    </row>
    <row r="40" spans="1:12" x14ac:dyDescent="0.25">
      <c r="A40" s="125"/>
      <c r="B40" s="127"/>
      <c r="C40" s="125" t="s">
        <v>167</v>
      </c>
      <c r="D40" s="126"/>
      <c r="E40" s="127"/>
      <c r="F40" s="9">
        <v>150</v>
      </c>
      <c r="G40" s="10">
        <v>0.15</v>
      </c>
      <c r="H40" s="10">
        <v>0.09</v>
      </c>
      <c r="I40" s="10">
        <v>16.61</v>
      </c>
      <c r="J40" s="10">
        <v>68.099999999999994</v>
      </c>
      <c r="K40" s="11">
        <v>19.350000000000001</v>
      </c>
      <c r="L40" s="12">
        <v>375</v>
      </c>
    </row>
    <row r="41" spans="1:12" x14ac:dyDescent="0.25">
      <c r="A41" s="125"/>
      <c r="B41" s="127"/>
      <c r="C41" s="125" t="s">
        <v>259</v>
      </c>
      <c r="D41" s="126"/>
      <c r="E41" s="127"/>
      <c r="F41" s="9">
        <v>35</v>
      </c>
      <c r="G41" s="10">
        <v>4.6100000000000003</v>
      </c>
      <c r="H41" s="10">
        <v>1.47</v>
      </c>
      <c r="I41" s="10">
        <v>14.59</v>
      </c>
      <c r="J41" s="10">
        <v>101</v>
      </c>
      <c r="K41" s="11">
        <v>0</v>
      </c>
      <c r="L41" s="9">
        <v>458</v>
      </c>
    </row>
    <row r="42" spans="1:12" ht="15" customHeight="1" x14ac:dyDescent="0.25">
      <c r="A42" s="125" t="s">
        <v>89</v>
      </c>
      <c r="B42" s="127"/>
      <c r="C42" s="125" t="s">
        <v>51</v>
      </c>
      <c r="D42" s="126"/>
      <c r="E42" s="127"/>
      <c r="F42" s="9">
        <v>160</v>
      </c>
      <c r="G42" s="10">
        <v>16.59</v>
      </c>
      <c r="H42" s="10">
        <v>5.81</v>
      </c>
      <c r="I42" s="10">
        <v>26.76</v>
      </c>
      <c r="J42" s="10">
        <v>266</v>
      </c>
      <c r="K42" s="11">
        <v>0.41</v>
      </c>
      <c r="L42" s="9">
        <v>304</v>
      </c>
    </row>
    <row r="43" spans="1:12" x14ac:dyDescent="0.25">
      <c r="A43" s="125"/>
      <c r="B43" s="127"/>
      <c r="C43" s="125" t="s">
        <v>133</v>
      </c>
      <c r="D43" s="126"/>
      <c r="E43" s="127"/>
      <c r="F43" s="9">
        <v>40</v>
      </c>
      <c r="G43" s="10">
        <f>69.57/1000*40</f>
        <v>2.7827999999999999</v>
      </c>
      <c r="H43" s="10">
        <f>24.32/1000*40</f>
        <v>0.97280000000000011</v>
      </c>
      <c r="I43" s="10">
        <f>479.32/1000*40</f>
        <v>19.172799999999999</v>
      </c>
      <c r="J43" s="10">
        <f>2414/1000*40</f>
        <v>96.56</v>
      </c>
      <c r="K43" s="11">
        <v>0</v>
      </c>
      <c r="L43" s="9">
        <v>453</v>
      </c>
    </row>
    <row r="44" spans="1:12" ht="15" customHeight="1" x14ac:dyDescent="0.25">
      <c r="A44" s="125"/>
      <c r="B44" s="127"/>
      <c r="C44" s="125" t="s">
        <v>166</v>
      </c>
      <c r="D44" s="126"/>
      <c r="E44" s="127"/>
      <c r="F44" s="9">
        <v>150</v>
      </c>
      <c r="G44" s="10">
        <v>2.65</v>
      </c>
      <c r="H44" s="10">
        <v>2.33</v>
      </c>
      <c r="I44" s="10">
        <v>11.31</v>
      </c>
      <c r="J44" s="10">
        <v>77</v>
      </c>
      <c r="K44" s="11">
        <v>1.19</v>
      </c>
      <c r="L44" s="9">
        <v>394</v>
      </c>
    </row>
    <row r="45" spans="1:12" ht="15" customHeight="1" x14ac:dyDescent="0.25">
      <c r="A45" s="152" t="s">
        <v>109</v>
      </c>
      <c r="B45" s="153"/>
      <c r="C45" s="154"/>
      <c r="D45" s="155"/>
      <c r="E45" s="156"/>
      <c r="F45" s="15">
        <f t="shared" ref="F45:K45" si="1">SUM(F28:F44)</f>
        <v>1860</v>
      </c>
      <c r="G45" s="16">
        <f t="shared" si="1"/>
        <v>76.052800000000005</v>
      </c>
      <c r="H45" s="16">
        <f t="shared" si="1"/>
        <v>72.202800000000011</v>
      </c>
      <c r="I45" s="16">
        <f t="shared" si="1"/>
        <v>224.92279999999997</v>
      </c>
      <c r="J45" s="16">
        <f t="shared" si="1"/>
        <v>1760.37</v>
      </c>
      <c r="K45" s="17">
        <f t="shared" si="1"/>
        <v>142.19999999999999</v>
      </c>
      <c r="L45" s="15"/>
    </row>
    <row r="46" spans="1:12" x14ac:dyDescent="0.25">
      <c r="A46" s="198" t="s">
        <v>110</v>
      </c>
      <c r="B46" s="199"/>
      <c r="C46" s="207" t="s">
        <v>141</v>
      </c>
      <c r="D46" s="126"/>
      <c r="E46" s="127"/>
      <c r="F46" s="9"/>
      <c r="G46" s="10"/>
      <c r="H46" s="10"/>
      <c r="I46" s="10"/>
      <c r="J46" s="10"/>
      <c r="K46" s="11"/>
      <c r="L46" s="9"/>
    </row>
    <row r="47" spans="1:12" x14ac:dyDescent="0.25">
      <c r="A47" s="125" t="s">
        <v>92</v>
      </c>
      <c r="B47" s="127"/>
      <c r="C47" s="125" t="s">
        <v>14</v>
      </c>
      <c r="D47" s="126"/>
      <c r="E47" s="127"/>
      <c r="F47" s="9">
        <v>200</v>
      </c>
      <c r="G47" s="10">
        <f>29.62/1000*200</f>
        <v>5.9240000000000004</v>
      </c>
      <c r="H47" s="10">
        <f>29.66/1000*200</f>
        <v>5.9319999999999995</v>
      </c>
      <c r="I47" s="10">
        <f>89.64/1000*200</f>
        <v>17.928000000000001</v>
      </c>
      <c r="J47" s="10">
        <f>744/1000*200</f>
        <v>148.80000000000001</v>
      </c>
      <c r="K47" s="11">
        <f>4.55/1000*200</f>
        <v>0.91</v>
      </c>
      <c r="L47" s="14">
        <v>94</v>
      </c>
    </row>
    <row r="48" spans="1:12" x14ac:dyDescent="0.25">
      <c r="A48" s="125"/>
      <c r="B48" s="127"/>
      <c r="C48" s="125" t="s">
        <v>137</v>
      </c>
      <c r="D48" s="126"/>
      <c r="E48" s="127"/>
      <c r="F48" s="9">
        <v>55</v>
      </c>
      <c r="G48" s="10">
        <v>2.5099999999999998</v>
      </c>
      <c r="H48" s="10">
        <v>3.93</v>
      </c>
      <c r="I48" s="10">
        <v>28.88</v>
      </c>
      <c r="J48" s="10">
        <v>161</v>
      </c>
      <c r="K48" s="11">
        <v>0.48</v>
      </c>
      <c r="L48" s="12">
        <v>2</v>
      </c>
    </row>
    <row r="49" spans="1:12" ht="15" customHeight="1" x14ac:dyDescent="0.25">
      <c r="A49" s="125"/>
      <c r="B49" s="127"/>
      <c r="C49" s="145" t="s">
        <v>178</v>
      </c>
      <c r="D49" s="146"/>
      <c r="E49" s="147"/>
      <c r="F49" s="9">
        <v>150</v>
      </c>
      <c r="G49" s="10">
        <v>0.14000000000000001</v>
      </c>
      <c r="H49" s="10">
        <v>0.01</v>
      </c>
      <c r="I49" s="10">
        <v>9.6199999999999992</v>
      </c>
      <c r="J49" s="10">
        <v>39</v>
      </c>
      <c r="K49" s="11">
        <v>0.02</v>
      </c>
      <c r="L49" s="9">
        <v>392</v>
      </c>
    </row>
    <row r="50" spans="1:12" ht="15" customHeight="1" x14ac:dyDescent="0.25">
      <c r="A50" s="125" t="s">
        <v>91</v>
      </c>
      <c r="B50" s="127"/>
      <c r="C50" s="159" t="s">
        <v>76</v>
      </c>
      <c r="D50" s="160"/>
      <c r="E50" s="161"/>
      <c r="F50" s="9">
        <v>180</v>
      </c>
      <c r="G50" s="10">
        <v>0.9</v>
      </c>
      <c r="H50" s="10">
        <v>0</v>
      </c>
      <c r="I50" s="10">
        <v>18.18</v>
      </c>
      <c r="J50" s="10">
        <v>76.81</v>
      </c>
      <c r="K50" s="11">
        <v>3.6</v>
      </c>
      <c r="L50" s="13">
        <v>399</v>
      </c>
    </row>
    <row r="51" spans="1:12" ht="15" customHeight="1" x14ac:dyDescent="0.25">
      <c r="A51" s="125"/>
      <c r="B51" s="127"/>
      <c r="C51" s="149" t="s">
        <v>124</v>
      </c>
      <c r="D51" s="150"/>
      <c r="E51" s="151"/>
      <c r="F51" s="9">
        <v>75</v>
      </c>
      <c r="G51" s="10">
        <v>0.52500000000000002</v>
      </c>
      <c r="H51" s="10">
        <v>0.1275</v>
      </c>
      <c r="I51" s="10">
        <v>16.3125</v>
      </c>
      <c r="J51" s="10">
        <v>68.4375</v>
      </c>
      <c r="K51" s="11">
        <v>9.84</v>
      </c>
      <c r="L51" s="9">
        <v>369</v>
      </c>
    </row>
    <row r="52" spans="1:12" ht="15" customHeight="1" x14ac:dyDescent="0.25">
      <c r="A52" s="125" t="s">
        <v>90</v>
      </c>
      <c r="B52" s="127"/>
      <c r="C52" s="145" t="s">
        <v>261</v>
      </c>
      <c r="D52" s="146"/>
      <c r="E52" s="147"/>
      <c r="F52" s="9">
        <v>250</v>
      </c>
      <c r="G52" s="10">
        <v>8.6</v>
      </c>
      <c r="H52" s="10">
        <v>8.41</v>
      </c>
      <c r="I52" s="10">
        <v>14.33</v>
      </c>
      <c r="J52" s="10">
        <v>167.25</v>
      </c>
      <c r="K52" s="11">
        <v>9.11</v>
      </c>
      <c r="L52" s="9">
        <v>87</v>
      </c>
    </row>
    <row r="53" spans="1:12" ht="15" customHeight="1" x14ac:dyDescent="0.25">
      <c r="A53" s="125"/>
      <c r="B53" s="127"/>
      <c r="C53" s="125" t="s">
        <v>131</v>
      </c>
      <c r="D53" s="126"/>
      <c r="E53" s="127"/>
      <c r="F53" s="9">
        <v>40</v>
      </c>
      <c r="G53" s="10">
        <f>69.57/1000*40</f>
        <v>2.7827999999999999</v>
      </c>
      <c r="H53" s="10">
        <f>24.32/1000*40</f>
        <v>0.97280000000000011</v>
      </c>
      <c r="I53" s="10">
        <f>479.32/1000*40</f>
        <v>19.172799999999999</v>
      </c>
      <c r="J53" s="10">
        <f>2414/1000*40</f>
        <v>96.56</v>
      </c>
      <c r="K53" s="11">
        <v>0</v>
      </c>
      <c r="L53" s="9">
        <v>453</v>
      </c>
    </row>
    <row r="54" spans="1:12" x14ac:dyDescent="0.25">
      <c r="A54" s="125"/>
      <c r="B54" s="127"/>
      <c r="C54" s="125" t="s">
        <v>32</v>
      </c>
      <c r="D54" s="126"/>
      <c r="E54" s="127"/>
      <c r="F54" s="9">
        <v>150</v>
      </c>
      <c r="G54" s="10">
        <v>3.65</v>
      </c>
      <c r="H54" s="10">
        <v>5.37</v>
      </c>
      <c r="I54" s="10">
        <v>36.68</v>
      </c>
      <c r="J54" s="10">
        <v>209.7</v>
      </c>
      <c r="K54" s="11">
        <v>0</v>
      </c>
      <c r="L54" s="12">
        <v>315</v>
      </c>
    </row>
    <row r="55" spans="1:12" ht="15" customHeight="1" x14ac:dyDescent="0.25">
      <c r="A55" s="125"/>
      <c r="B55" s="127"/>
      <c r="C55" s="125" t="s">
        <v>50</v>
      </c>
      <c r="D55" s="126"/>
      <c r="E55" s="127"/>
      <c r="F55" s="9">
        <v>80</v>
      </c>
      <c r="G55" s="10">
        <v>10.66</v>
      </c>
      <c r="H55" s="10">
        <v>3</v>
      </c>
      <c r="I55" s="10">
        <v>5.85</v>
      </c>
      <c r="J55" s="10">
        <v>93</v>
      </c>
      <c r="K55" s="11">
        <v>0.18</v>
      </c>
      <c r="L55" s="9">
        <v>263</v>
      </c>
    </row>
    <row r="56" spans="1:12" ht="15" customHeight="1" x14ac:dyDescent="0.25">
      <c r="A56" s="125"/>
      <c r="B56" s="127"/>
      <c r="C56" s="145" t="s">
        <v>26</v>
      </c>
      <c r="D56" s="146"/>
      <c r="E56" s="147"/>
      <c r="F56" s="9">
        <v>15</v>
      </c>
      <c r="G56" s="10">
        <v>0.31</v>
      </c>
      <c r="H56" s="10">
        <v>0.79</v>
      </c>
      <c r="I56" s="10">
        <v>1.06</v>
      </c>
      <c r="J56" s="10">
        <v>12.57</v>
      </c>
      <c r="K56" s="11">
        <v>0.05</v>
      </c>
      <c r="L56" s="14">
        <v>350</v>
      </c>
    </row>
    <row r="57" spans="1:12" ht="15" customHeight="1" x14ac:dyDescent="0.25">
      <c r="A57" s="125"/>
      <c r="B57" s="127"/>
      <c r="C57" s="145" t="s">
        <v>58</v>
      </c>
      <c r="D57" s="146"/>
      <c r="E57" s="147"/>
      <c r="F57" s="9">
        <v>60</v>
      </c>
      <c r="G57" s="10">
        <v>0.51</v>
      </c>
      <c r="H57" s="10">
        <v>3.06</v>
      </c>
      <c r="I57" s="10">
        <v>1.56</v>
      </c>
      <c r="J57" s="10">
        <v>35.880000000000003</v>
      </c>
      <c r="K57" s="11">
        <v>3.33</v>
      </c>
      <c r="L57" s="9">
        <v>19</v>
      </c>
    </row>
    <row r="58" spans="1:12" ht="15" customHeight="1" x14ac:dyDescent="0.25">
      <c r="A58" s="125"/>
      <c r="B58" s="127"/>
      <c r="C58" s="145" t="s">
        <v>168</v>
      </c>
      <c r="D58" s="146"/>
      <c r="E58" s="147"/>
      <c r="F58" s="9">
        <v>150</v>
      </c>
      <c r="G58" s="10">
        <v>0.33</v>
      </c>
      <c r="H58" s="10">
        <v>0.02</v>
      </c>
      <c r="I58" s="10">
        <v>20.83</v>
      </c>
      <c r="J58" s="10">
        <v>84.75</v>
      </c>
      <c r="K58" s="11">
        <v>0.3</v>
      </c>
      <c r="L58" s="14">
        <v>376</v>
      </c>
    </row>
    <row r="59" spans="1:12" ht="15" customHeight="1" x14ac:dyDescent="0.25">
      <c r="A59" s="125"/>
      <c r="B59" s="127"/>
      <c r="C59" s="145" t="s">
        <v>264</v>
      </c>
      <c r="D59" s="146"/>
      <c r="E59" s="147"/>
      <c r="F59" s="9">
        <v>65</v>
      </c>
      <c r="G59" s="10">
        <v>456</v>
      </c>
      <c r="H59" s="10">
        <v>4.0599999999999996</v>
      </c>
      <c r="I59" s="10">
        <v>27.75</v>
      </c>
      <c r="J59" s="10">
        <v>166</v>
      </c>
      <c r="K59" s="11">
        <v>0.24</v>
      </c>
      <c r="L59" s="9">
        <v>449</v>
      </c>
    </row>
    <row r="60" spans="1:12" ht="15" customHeight="1" x14ac:dyDescent="0.25">
      <c r="A60" s="125" t="s">
        <v>89</v>
      </c>
      <c r="B60" s="127"/>
      <c r="C60" s="145" t="s">
        <v>265</v>
      </c>
      <c r="D60" s="146"/>
      <c r="E60" s="147"/>
      <c r="F60" s="9">
        <v>160</v>
      </c>
      <c r="G60" s="10">
        <v>20.63</v>
      </c>
      <c r="H60" s="10">
        <v>16.3</v>
      </c>
      <c r="I60" s="10">
        <v>5.24</v>
      </c>
      <c r="J60" s="10">
        <v>250</v>
      </c>
      <c r="K60" s="11">
        <v>1.1100000000000001</v>
      </c>
      <c r="L60" s="14">
        <v>277</v>
      </c>
    </row>
    <row r="61" spans="1:12" ht="15" customHeight="1" x14ac:dyDescent="0.25">
      <c r="A61" s="96"/>
      <c r="B61" s="97"/>
      <c r="C61" s="145" t="s">
        <v>266</v>
      </c>
      <c r="D61" s="146"/>
      <c r="E61" s="147"/>
      <c r="F61" s="9">
        <v>155</v>
      </c>
      <c r="G61" s="10">
        <v>4.5599999999999996</v>
      </c>
      <c r="H61" s="10">
        <v>0.55000000000000004</v>
      </c>
      <c r="I61" s="10">
        <v>37.520000000000003</v>
      </c>
      <c r="J61" s="10">
        <v>173</v>
      </c>
      <c r="K61" s="11">
        <v>0</v>
      </c>
      <c r="L61" s="14">
        <v>165</v>
      </c>
    </row>
    <row r="62" spans="1:12" ht="15" customHeight="1" x14ac:dyDescent="0.25">
      <c r="A62" s="125"/>
      <c r="B62" s="127"/>
      <c r="C62" s="125" t="s">
        <v>133</v>
      </c>
      <c r="D62" s="126"/>
      <c r="E62" s="127"/>
      <c r="F62" s="9">
        <v>40</v>
      </c>
      <c r="G62" s="10">
        <f>69.57/1000*40</f>
        <v>2.7827999999999999</v>
      </c>
      <c r="H62" s="10">
        <f>24.32/1000*40</f>
        <v>0.97280000000000011</v>
      </c>
      <c r="I62" s="10">
        <f>479.32/1000*40</f>
        <v>19.172799999999999</v>
      </c>
      <c r="J62" s="10">
        <f>2414/1000*40</f>
        <v>96.56</v>
      </c>
      <c r="K62" s="11">
        <v>0</v>
      </c>
      <c r="L62" s="9">
        <v>453</v>
      </c>
    </row>
    <row r="63" spans="1:12" ht="15" customHeight="1" x14ac:dyDescent="0.25">
      <c r="A63" s="125"/>
      <c r="B63" s="127"/>
      <c r="C63" s="145" t="s">
        <v>269</v>
      </c>
      <c r="D63" s="146"/>
      <c r="E63" s="147"/>
      <c r="F63" s="9">
        <v>150</v>
      </c>
      <c r="G63" s="10">
        <v>0.04</v>
      </c>
      <c r="H63" s="10">
        <v>0.01</v>
      </c>
      <c r="I63" s="10">
        <v>6.99</v>
      </c>
      <c r="J63" s="10">
        <v>28</v>
      </c>
      <c r="K63" s="11">
        <v>0.02</v>
      </c>
      <c r="L63" s="9">
        <v>392</v>
      </c>
    </row>
    <row r="64" spans="1:12" ht="15" customHeight="1" x14ac:dyDescent="0.25">
      <c r="A64" s="128"/>
      <c r="B64" s="129"/>
      <c r="C64" s="204" t="s">
        <v>271</v>
      </c>
      <c r="D64" s="205"/>
      <c r="E64" s="206"/>
      <c r="F64" s="9"/>
      <c r="G64" s="10"/>
      <c r="H64" s="10"/>
      <c r="I64" s="10"/>
      <c r="J64" s="10"/>
      <c r="K64" s="11"/>
      <c r="L64" s="9"/>
    </row>
    <row r="65" spans="1:12" x14ac:dyDescent="0.25">
      <c r="A65" s="152" t="s">
        <v>111</v>
      </c>
      <c r="B65" s="153"/>
      <c r="C65" s="154"/>
      <c r="D65" s="155"/>
      <c r="E65" s="156"/>
      <c r="F65" s="15">
        <f t="shared" ref="F65:K65" si="2">SUM(F47:F64)</f>
        <v>1975</v>
      </c>
      <c r="G65" s="16">
        <f t="shared" si="2"/>
        <v>520.85459999999989</v>
      </c>
      <c r="H65" s="16">
        <f t="shared" si="2"/>
        <v>53.51509999999999</v>
      </c>
      <c r="I65" s="16">
        <f t="shared" si="2"/>
        <v>287.0761</v>
      </c>
      <c r="J65" s="16">
        <f t="shared" si="2"/>
        <v>1907.3175000000001</v>
      </c>
      <c r="K65" s="17">
        <f t="shared" si="2"/>
        <v>29.19</v>
      </c>
      <c r="L65" s="15"/>
    </row>
    <row r="66" spans="1:12" x14ac:dyDescent="0.25">
      <c r="A66" s="157" t="s">
        <v>138</v>
      </c>
      <c r="B66" s="158"/>
      <c r="C66" s="173" t="s">
        <v>143</v>
      </c>
      <c r="D66" s="203"/>
      <c r="E66" s="174"/>
      <c r="F66" s="18"/>
      <c r="G66" s="19"/>
      <c r="H66" s="19"/>
      <c r="I66" s="19"/>
      <c r="J66" s="19"/>
      <c r="K66" s="20"/>
      <c r="L66" s="18"/>
    </row>
    <row r="67" spans="1:12" ht="15" customHeight="1" x14ac:dyDescent="0.25">
      <c r="A67" s="143" t="s">
        <v>107</v>
      </c>
      <c r="B67" s="144"/>
      <c r="C67" s="145" t="s">
        <v>15</v>
      </c>
      <c r="D67" s="146"/>
      <c r="E67" s="147"/>
      <c r="F67" s="9">
        <v>200</v>
      </c>
      <c r="G67" s="10">
        <f>28.99/1000*200</f>
        <v>5.798</v>
      </c>
      <c r="H67" s="10">
        <f>27.39/1000*200</f>
        <v>5.4780000000000006</v>
      </c>
      <c r="I67" s="10">
        <f>92.86/1000*200</f>
        <v>18.571999999999999</v>
      </c>
      <c r="J67" s="10">
        <f>737/1000*200</f>
        <v>147.4</v>
      </c>
      <c r="K67" s="11">
        <f>4.55/1000*200</f>
        <v>0.91</v>
      </c>
      <c r="L67" s="12">
        <v>94</v>
      </c>
    </row>
    <row r="68" spans="1:12" ht="15" customHeight="1" x14ac:dyDescent="0.25">
      <c r="A68" s="125"/>
      <c r="B68" s="127"/>
      <c r="C68" s="125" t="s">
        <v>126</v>
      </c>
      <c r="D68" s="126"/>
      <c r="E68" s="127"/>
      <c r="F68" s="9">
        <v>45</v>
      </c>
      <c r="G68" s="10">
        <v>4.79</v>
      </c>
      <c r="H68" s="10">
        <v>6.32</v>
      </c>
      <c r="I68" s="10">
        <v>14.56</v>
      </c>
      <c r="J68" s="10">
        <v>134</v>
      </c>
      <c r="K68" s="11">
        <v>0.08</v>
      </c>
      <c r="L68" s="12">
        <v>3</v>
      </c>
    </row>
    <row r="69" spans="1:12" ht="15" customHeight="1" x14ac:dyDescent="0.25">
      <c r="A69" s="125"/>
      <c r="B69" s="127"/>
      <c r="C69" s="125" t="s">
        <v>166</v>
      </c>
      <c r="D69" s="126"/>
      <c r="E69" s="127"/>
      <c r="F69" s="9">
        <v>150</v>
      </c>
      <c r="G69" s="10">
        <v>2.65</v>
      </c>
      <c r="H69" s="10">
        <v>2.33</v>
      </c>
      <c r="I69" s="10">
        <v>11.31</v>
      </c>
      <c r="J69" s="10">
        <v>77</v>
      </c>
      <c r="K69" s="11">
        <v>1.19</v>
      </c>
      <c r="L69" s="9">
        <v>394</v>
      </c>
    </row>
    <row r="70" spans="1:12" ht="15" customHeight="1" x14ac:dyDescent="0.25">
      <c r="A70" s="125" t="s">
        <v>91</v>
      </c>
      <c r="B70" s="127"/>
      <c r="C70" s="159" t="s">
        <v>75</v>
      </c>
      <c r="D70" s="160"/>
      <c r="E70" s="161"/>
      <c r="F70" s="9">
        <v>150</v>
      </c>
      <c r="G70" s="10">
        <v>4.58</v>
      </c>
      <c r="H70" s="10">
        <v>4.08</v>
      </c>
      <c r="I70" s="10">
        <v>7.58</v>
      </c>
      <c r="J70" s="10">
        <v>85</v>
      </c>
      <c r="K70" s="11">
        <v>2.0499999999999998</v>
      </c>
      <c r="L70" s="13">
        <v>400</v>
      </c>
    </row>
    <row r="71" spans="1:12" ht="15" customHeight="1" x14ac:dyDescent="0.25">
      <c r="A71" s="125"/>
      <c r="B71" s="127"/>
      <c r="C71" s="149" t="s">
        <v>68</v>
      </c>
      <c r="D71" s="150"/>
      <c r="E71" s="151"/>
      <c r="F71" s="9">
        <v>180</v>
      </c>
      <c r="G71" s="10">
        <v>5.22</v>
      </c>
      <c r="H71" s="10">
        <v>4.5</v>
      </c>
      <c r="I71" s="10">
        <v>7.2</v>
      </c>
      <c r="J71" s="10">
        <v>90</v>
      </c>
      <c r="K71" s="11">
        <v>1.26</v>
      </c>
      <c r="L71" s="9">
        <v>401</v>
      </c>
    </row>
    <row r="72" spans="1:12" ht="15" customHeight="1" x14ac:dyDescent="0.25">
      <c r="A72" s="125" t="s">
        <v>90</v>
      </c>
      <c r="B72" s="127"/>
      <c r="C72" s="145" t="s">
        <v>42</v>
      </c>
      <c r="D72" s="146"/>
      <c r="E72" s="147"/>
      <c r="F72" s="21">
        <v>250</v>
      </c>
      <c r="G72" s="22">
        <v>1.62</v>
      </c>
      <c r="H72" s="22">
        <v>5.0599999999999996</v>
      </c>
      <c r="I72" s="22">
        <v>13.06</v>
      </c>
      <c r="J72" s="22">
        <v>104.25</v>
      </c>
      <c r="K72" s="23">
        <v>7.53</v>
      </c>
      <c r="L72" s="21">
        <v>73</v>
      </c>
    </row>
    <row r="73" spans="1:12" x14ac:dyDescent="0.25">
      <c r="A73" s="125"/>
      <c r="B73" s="127"/>
      <c r="C73" s="125" t="s">
        <v>131</v>
      </c>
      <c r="D73" s="126"/>
      <c r="E73" s="127"/>
      <c r="F73" s="9">
        <v>40</v>
      </c>
      <c r="G73" s="10">
        <f>69.57/1000*40</f>
        <v>2.7827999999999999</v>
      </c>
      <c r="H73" s="10">
        <f>24.32/1000*40</f>
        <v>0.97280000000000011</v>
      </c>
      <c r="I73" s="10">
        <f>479.32/1000*40</f>
        <v>19.172799999999999</v>
      </c>
      <c r="J73" s="10">
        <f>2414/1000*40</f>
        <v>96.56</v>
      </c>
      <c r="K73" s="11">
        <v>0</v>
      </c>
      <c r="L73" s="9">
        <v>453</v>
      </c>
    </row>
    <row r="74" spans="1:12" ht="15" customHeight="1" x14ac:dyDescent="0.25">
      <c r="A74" s="125"/>
      <c r="B74" s="127"/>
      <c r="C74" s="145" t="s">
        <v>53</v>
      </c>
      <c r="D74" s="146"/>
      <c r="E74" s="147"/>
      <c r="F74" s="9">
        <v>150</v>
      </c>
      <c r="G74" s="10">
        <v>6.6</v>
      </c>
      <c r="H74" s="10">
        <v>5.73</v>
      </c>
      <c r="I74" s="10">
        <v>37.880000000000003</v>
      </c>
      <c r="J74" s="10">
        <v>229.5</v>
      </c>
      <c r="K74" s="11">
        <v>0</v>
      </c>
      <c r="L74" s="9">
        <v>313</v>
      </c>
    </row>
    <row r="75" spans="1:12" ht="15" customHeight="1" x14ac:dyDescent="0.25">
      <c r="A75" s="125"/>
      <c r="B75" s="127"/>
      <c r="C75" s="125" t="s">
        <v>36</v>
      </c>
      <c r="D75" s="126"/>
      <c r="E75" s="127"/>
      <c r="F75" s="9">
        <v>160</v>
      </c>
      <c r="G75" s="10">
        <v>10.91</v>
      </c>
      <c r="H75" s="10">
        <v>12.53</v>
      </c>
      <c r="I75" s="10">
        <v>13.79</v>
      </c>
      <c r="J75" s="10">
        <v>212</v>
      </c>
      <c r="K75" s="11">
        <v>0.61</v>
      </c>
      <c r="L75" s="13">
        <v>287</v>
      </c>
    </row>
    <row r="76" spans="1:12" ht="15" customHeight="1" x14ac:dyDescent="0.25">
      <c r="A76" s="125"/>
      <c r="B76" s="127"/>
      <c r="C76" s="145" t="s">
        <v>27</v>
      </c>
      <c r="D76" s="146"/>
      <c r="E76" s="147"/>
      <c r="F76" s="9">
        <v>15</v>
      </c>
      <c r="G76" s="10">
        <v>0.21</v>
      </c>
      <c r="H76" s="10">
        <v>0.75</v>
      </c>
      <c r="I76" s="10">
        <v>0.88</v>
      </c>
      <c r="J76" s="10">
        <v>11.12</v>
      </c>
      <c r="K76" s="11">
        <v>5.0000000000000001E-3</v>
      </c>
      <c r="L76" s="9">
        <v>375</v>
      </c>
    </row>
    <row r="77" spans="1:12" ht="15" customHeight="1" x14ac:dyDescent="0.25">
      <c r="A77" s="125"/>
      <c r="B77" s="127"/>
      <c r="C77" s="125" t="s">
        <v>57</v>
      </c>
      <c r="D77" s="126"/>
      <c r="E77" s="127"/>
      <c r="F77" s="9">
        <v>60</v>
      </c>
      <c r="G77" s="10">
        <v>0.81</v>
      </c>
      <c r="H77" s="10">
        <v>3.7</v>
      </c>
      <c r="I77" s="10">
        <v>4.6100000000000003</v>
      </c>
      <c r="J77" s="10">
        <v>54.96</v>
      </c>
      <c r="K77" s="11">
        <v>7.95</v>
      </c>
      <c r="L77" s="9">
        <v>45</v>
      </c>
    </row>
    <row r="78" spans="1:12" ht="15" customHeight="1" x14ac:dyDescent="0.25">
      <c r="A78" s="125"/>
      <c r="B78" s="127"/>
      <c r="C78" s="125" t="s">
        <v>169</v>
      </c>
      <c r="D78" s="126"/>
      <c r="E78" s="127"/>
      <c r="F78" s="9">
        <v>150</v>
      </c>
      <c r="G78" s="10">
        <v>0.36</v>
      </c>
      <c r="H78" s="10">
        <v>0.14000000000000001</v>
      </c>
      <c r="I78" s="10">
        <v>24.33</v>
      </c>
      <c r="J78" s="10">
        <v>100.05</v>
      </c>
      <c r="K78" s="11">
        <v>1.49</v>
      </c>
      <c r="L78" s="14">
        <v>377</v>
      </c>
    </row>
    <row r="79" spans="1:12" x14ac:dyDescent="0.25">
      <c r="A79" s="125"/>
      <c r="B79" s="127"/>
      <c r="C79" s="125" t="s">
        <v>145</v>
      </c>
      <c r="D79" s="126"/>
      <c r="E79" s="127"/>
      <c r="F79" s="9">
        <v>50</v>
      </c>
      <c r="G79" s="10">
        <v>4.24</v>
      </c>
      <c r="H79" s="10">
        <v>8.7100000000000009</v>
      </c>
      <c r="I79" s="10">
        <v>29.52</v>
      </c>
      <c r="J79" s="10">
        <v>213</v>
      </c>
      <c r="K79" s="11">
        <v>7.0000000000000007E-2</v>
      </c>
      <c r="L79" s="14">
        <v>492</v>
      </c>
    </row>
    <row r="80" spans="1:12" ht="15" customHeight="1" x14ac:dyDescent="0.25">
      <c r="A80" s="165" t="s">
        <v>89</v>
      </c>
      <c r="B80" s="166"/>
      <c r="C80" s="145" t="s">
        <v>130</v>
      </c>
      <c r="D80" s="146"/>
      <c r="E80" s="147"/>
      <c r="F80" s="9">
        <v>205</v>
      </c>
      <c r="G80" s="10">
        <v>19.82</v>
      </c>
      <c r="H80" s="10">
        <v>19.29</v>
      </c>
      <c r="I80" s="10">
        <v>36.049999999999997</v>
      </c>
      <c r="J80" s="10">
        <v>397</v>
      </c>
      <c r="K80" s="11">
        <v>0.39</v>
      </c>
      <c r="L80" s="12">
        <v>440</v>
      </c>
    </row>
    <row r="81" spans="1:12" ht="15" customHeight="1" x14ac:dyDescent="0.25">
      <c r="A81" s="125"/>
      <c r="B81" s="127"/>
      <c r="C81" s="125" t="s">
        <v>133</v>
      </c>
      <c r="D81" s="126"/>
      <c r="E81" s="127"/>
      <c r="F81" s="9">
        <v>40</v>
      </c>
      <c r="G81" s="10">
        <f>69.57/1000*40</f>
        <v>2.7827999999999999</v>
      </c>
      <c r="H81" s="10">
        <f>24.32/1000*40</f>
        <v>0.97280000000000011</v>
      </c>
      <c r="I81" s="10">
        <f>479.32/1000*40</f>
        <v>19.172799999999999</v>
      </c>
      <c r="J81" s="10">
        <f>2414/1000*40</f>
        <v>96.56</v>
      </c>
      <c r="K81" s="11">
        <v>0</v>
      </c>
      <c r="L81" s="9">
        <v>453</v>
      </c>
    </row>
    <row r="82" spans="1:12" ht="15" customHeight="1" x14ac:dyDescent="0.25">
      <c r="A82" s="125"/>
      <c r="B82" s="127"/>
      <c r="C82" s="145" t="s">
        <v>164</v>
      </c>
      <c r="D82" s="146"/>
      <c r="E82" s="147"/>
      <c r="F82" s="9">
        <v>150</v>
      </c>
      <c r="G82" s="10">
        <v>3.15</v>
      </c>
      <c r="H82" s="10">
        <v>2.72</v>
      </c>
      <c r="I82" s="10">
        <v>12.96</v>
      </c>
      <c r="J82" s="10">
        <v>89</v>
      </c>
      <c r="K82" s="11">
        <v>1.2</v>
      </c>
      <c r="L82" s="9">
        <v>397</v>
      </c>
    </row>
    <row r="83" spans="1:12" ht="15" customHeight="1" x14ac:dyDescent="0.25">
      <c r="A83" s="152" t="s">
        <v>112</v>
      </c>
      <c r="B83" s="153"/>
      <c r="C83" s="154"/>
      <c r="D83" s="155"/>
      <c r="E83" s="156"/>
      <c r="F83" s="15">
        <f t="shared" ref="F83:K83" si="3">SUM(F67:F82)</f>
        <v>1995</v>
      </c>
      <c r="G83" s="16">
        <f t="shared" si="3"/>
        <v>76.323600000000013</v>
      </c>
      <c r="H83" s="16">
        <f t="shared" si="3"/>
        <v>83.283600000000007</v>
      </c>
      <c r="I83" s="16">
        <f t="shared" si="3"/>
        <v>270.64759999999995</v>
      </c>
      <c r="J83" s="16">
        <f t="shared" si="3"/>
        <v>2137.4</v>
      </c>
      <c r="K83" s="17">
        <f t="shared" si="3"/>
        <v>24.734999999999999</v>
      </c>
      <c r="L83" s="15"/>
    </row>
    <row r="84" spans="1:12" ht="15" customHeight="1" x14ac:dyDescent="0.25">
      <c r="A84" s="157" t="s">
        <v>146</v>
      </c>
      <c r="B84" s="158"/>
      <c r="C84" s="173" t="s">
        <v>147</v>
      </c>
      <c r="D84" s="133"/>
      <c r="E84" s="134"/>
      <c r="F84" s="18"/>
      <c r="G84" s="19"/>
      <c r="H84" s="19"/>
      <c r="I84" s="19"/>
      <c r="J84" s="19"/>
      <c r="K84" s="20"/>
      <c r="L84" s="18"/>
    </row>
    <row r="85" spans="1:12" ht="15" customHeight="1" x14ac:dyDescent="0.25">
      <c r="A85" s="125" t="s">
        <v>92</v>
      </c>
      <c r="B85" s="127"/>
      <c r="C85" s="145" t="s">
        <v>16</v>
      </c>
      <c r="D85" s="146"/>
      <c r="E85" s="147"/>
      <c r="F85" s="9">
        <v>200</v>
      </c>
      <c r="G85" s="100">
        <v>13.7</v>
      </c>
      <c r="H85" s="100">
        <v>10.16</v>
      </c>
      <c r="I85" s="100">
        <v>33.14</v>
      </c>
      <c r="J85" s="100">
        <v>278.7</v>
      </c>
      <c r="K85" s="101">
        <v>19.36</v>
      </c>
      <c r="L85" s="99">
        <v>94</v>
      </c>
    </row>
    <row r="86" spans="1:12" ht="15" customHeight="1" x14ac:dyDescent="0.25">
      <c r="A86" s="125"/>
      <c r="B86" s="127"/>
      <c r="C86" s="125" t="s">
        <v>137</v>
      </c>
      <c r="D86" s="126"/>
      <c r="E86" s="127"/>
      <c r="F86" s="9">
        <v>55</v>
      </c>
      <c r="G86" s="10">
        <v>2.5099999999999998</v>
      </c>
      <c r="H86" s="10">
        <v>3.93</v>
      </c>
      <c r="I86" s="10">
        <v>28.88</v>
      </c>
      <c r="J86" s="10">
        <v>161</v>
      </c>
      <c r="K86" s="11">
        <v>0.48</v>
      </c>
      <c r="L86" s="12">
        <v>2</v>
      </c>
    </row>
    <row r="87" spans="1:12" ht="15" customHeight="1" x14ac:dyDescent="0.25">
      <c r="A87" s="125"/>
      <c r="B87" s="127"/>
      <c r="C87" s="145" t="s">
        <v>165</v>
      </c>
      <c r="D87" s="146"/>
      <c r="E87" s="147"/>
      <c r="F87" s="9">
        <v>150</v>
      </c>
      <c r="G87" s="10">
        <v>0.04</v>
      </c>
      <c r="H87" s="10">
        <v>0.01</v>
      </c>
      <c r="I87" s="10">
        <v>6.99</v>
      </c>
      <c r="J87" s="10">
        <v>28</v>
      </c>
      <c r="K87" s="11">
        <v>0.02</v>
      </c>
      <c r="L87" s="9">
        <v>392</v>
      </c>
    </row>
    <row r="88" spans="1:12" ht="15" customHeight="1" x14ac:dyDescent="0.25">
      <c r="A88" s="125" t="s">
        <v>91</v>
      </c>
      <c r="B88" s="127"/>
      <c r="C88" s="159" t="s">
        <v>76</v>
      </c>
      <c r="D88" s="160"/>
      <c r="E88" s="161"/>
      <c r="F88" s="9">
        <v>180</v>
      </c>
      <c r="G88" s="10">
        <v>1</v>
      </c>
      <c r="H88" s="10">
        <v>0</v>
      </c>
      <c r="I88" s="10">
        <v>25.4</v>
      </c>
      <c r="J88" s="10">
        <v>105.34</v>
      </c>
      <c r="K88" s="11">
        <v>8</v>
      </c>
      <c r="L88" s="13">
        <v>399</v>
      </c>
    </row>
    <row r="89" spans="1:12" ht="15" customHeight="1" x14ac:dyDescent="0.25">
      <c r="A89" s="125"/>
      <c r="B89" s="127"/>
      <c r="C89" s="149" t="s">
        <v>124</v>
      </c>
      <c r="D89" s="150"/>
      <c r="E89" s="151"/>
      <c r="F89" s="9">
        <v>75</v>
      </c>
      <c r="G89" s="10">
        <v>0.52500000000000002</v>
      </c>
      <c r="H89" s="10">
        <v>0.1275</v>
      </c>
      <c r="I89" s="10">
        <v>16.3125</v>
      </c>
      <c r="J89" s="10">
        <v>68.4375</v>
      </c>
      <c r="K89" s="11">
        <v>9.84</v>
      </c>
      <c r="L89" s="9">
        <v>369</v>
      </c>
    </row>
    <row r="90" spans="1:12" ht="15" customHeight="1" x14ac:dyDescent="0.25">
      <c r="A90" s="125" t="s">
        <v>90</v>
      </c>
      <c r="B90" s="127"/>
      <c r="C90" s="145" t="s">
        <v>43</v>
      </c>
      <c r="D90" s="146"/>
      <c r="E90" s="147"/>
      <c r="F90" s="9">
        <v>250</v>
      </c>
      <c r="G90" s="10">
        <v>2.5099999999999998</v>
      </c>
      <c r="H90" s="10">
        <v>2.79</v>
      </c>
      <c r="I90" s="10">
        <v>17</v>
      </c>
      <c r="J90" s="10">
        <v>103.25</v>
      </c>
      <c r="K90" s="11">
        <v>8.25</v>
      </c>
      <c r="L90" s="9">
        <v>80</v>
      </c>
    </row>
    <row r="91" spans="1:12" x14ac:dyDescent="0.25">
      <c r="A91" s="125"/>
      <c r="B91" s="127"/>
      <c r="C91" s="125" t="s">
        <v>131</v>
      </c>
      <c r="D91" s="126"/>
      <c r="E91" s="127"/>
      <c r="F91" s="9">
        <v>40</v>
      </c>
      <c r="G91" s="10">
        <f>69.57/1000*40</f>
        <v>2.7827999999999999</v>
      </c>
      <c r="H91" s="10">
        <f>24.32/1000*40</f>
        <v>0.97280000000000011</v>
      </c>
      <c r="I91" s="10">
        <f>479.32/1000*40</f>
        <v>19.172799999999999</v>
      </c>
      <c r="J91" s="10">
        <f>2414/1000*40</f>
        <v>96.56</v>
      </c>
      <c r="K91" s="11">
        <v>0</v>
      </c>
      <c r="L91" s="9">
        <v>453</v>
      </c>
    </row>
    <row r="92" spans="1:12" x14ac:dyDescent="0.25">
      <c r="A92" s="125"/>
      <c r="B92" s="127"/>
      <c r="C92" s="125" t="s">
        <v>28</v>
      </c>
      <c r="D92" s="126"/>
      <c r="E92" s="127"/>
      <c r="F92" s="9">
        <v>150</v>
      </c>
      <c r="G92" s="10">
        <v>3.06</v>
      </c>
      <c r="H92" s="10">
        <v>4.8</v>
      </c>
      <c r="I92" s="10">
        <v>20.440000000000001</v>
      </c>
      <c r="J92" s="10">
        <v>137.25</v>
      </c>
      <c r="K92" s="11">
        <v>18.16</v>
      </c>
      <c r="L92" s="13">
        <v>321</v>
      </c>
    </row>
    <row r="93" spans="1:12" ht="15" customHeight="1" x14ac:dyDescent="0.25">
      <c r="A93" s="125"/>
      <c r="B93" s="127"/>
      <c r="C93" s="145" t="s">
        <v>25</v>
      </c>
      <c r="D93" s="146"/>
      <c r="E93" s="147"/>
      <c r="F93" s="9">
        <v>80</v>
      </c>
      <c r="G93" s="10">
        <v>11.16</v>
      </c>
      <c r="H93" s="10">
        <v>3.9</v>
      </c>
      <c r="I93" s="10">
        <v>9.0399999999999991</v>
      </c>
      <c r="J93" s="10">
        <v>116</v>
      </c>
      <c r="K93" s="11">
        <v>3.06</v>
      </c>
      <c r="L93" s="9">
        <v>256</v>
      </c>
    </row>
    <row r="94" spans="1:12" ht="15" customHeight="1" x14ac:dyDescent="0.25">
      <c r="A94" s="125"/>
      <c r="B94" s="127"/>
      <c r="C94" s="145" t="s">
        <v>27</v>
      </c>
      <c r="D94" s="146"/>
      <c r="E94" s="147"/>
      <c r="F94" s="9">
        <v>15</v>
      </c>
      <c r="G94" s="10">
        <v>0.21</v>
      </c>
      <c r="H94" s="10">
        <v>0.75</v>
      </c>
      <c r="I94" s="10">
        <v>0.88</v>
      </c>
      <c r="J94" s="10">
        <v>11.12</v>
      </c>
      <c r="K94" s="11">
        <v>5.0000000000000001E-3</v>
      </c>
      <c r="L94" s="14">
        <v>375</v>
      </c>
    </row>
    <row r="95" spans="1:12" x14ac:dyDescent="0.25">
      <c r="A95" s="125"/>
      <c r="B95" s="127"/>
      <c r="C95" s="125" t="s">
        <v>59</v>
      </c>
      <c r="D95" s="126"/>
      <c r="E95" s="127"/>
      <c r="F95" s="9">
        <v>60</v>
      </c>
      <c r="G95" s="10">
        <v>0.83</v>
      </c>
      <c r="H95" s="10">
        <v>3.12</v>
      </c>
      <c r="I95" s="10">
        <v>10.44</v>
      </c>
      <c r="J95" s="10">
        <v>73.44</v>
      </c>
      <c r="K95" s="11">
        <v>2.57</v>
      </c>
      <c r="L95" s="9">
        <v>44</v>
      </c>
    </row>
    <row r="96" spans="1:12" ht="15" customHeight="1" x14ac:dyDescent="0.25">
      <c r="A96" s="125"/>
      <c r="B96" s="127"/>
      <c r="C96" s="145" t="s">
        <v>170</v>
      </c>
      <c r="D96" s="146"/>
      <c r="E96" s="147"/>
      <c r="F96" s="9">
        <v>150</v>
      </c>
      <c r="G96" s="10">
        <v>0.33</v>
      </c>
      <c r="H96" s="10">
        <v>0.01</v>
      </c>
      <c r="I96" s="10">
        <v>20.83</v>
      </c>
      <c r="J96" s="10">
        <v>84.75</v>
      </c>
      <c r="K96" s="11">
        <v>0.3</v>
      </c>
      <c r="L96" s="13">
        <v>376</v>
      </c>
    </row>
    <row r="97" spans="1:12" ht="15" customHeight="1" x14ac:dyDescent="0.25">
      <c r="A97" s="125"/>
      <c r="B97" s="127"/>
      <c r="C97" s="145" t="s">
        <v>11</v>
      </c>
      <c r="D97" s="146"/>
      <c r="E97" s="147"/>
      <c r="F97" s="9"/>
      <c r="G97" s="10"/>
      <c r="H97" s="10"/>
      <c r="I97" s="10"/>
      <c r="J97" s="10"/>
      <c r="K97" s="11"/>
      <c r="L97" s="12"/>
    </row>
    <row r="98" spans="1:12" ht="15" customHeight="1" x14ac:dyDescent="0.25">
      <c r="A98" s="125" t="s">
        <v>89</v>
      </c>
      <c r="B98" s="127"/>
      <c r="C98" s="125" t="s">
        <v>278</v>
      </c>
      <c r="D98" s="126"/>
      <c r="E98" s="127"/>
      <c r="F98" s="9">
        <v>150</v>
      </c>
      <c r="G98" s="10">
        <v>6.61</v>
      </c>
      <c r="H98" s="10">
        <v>4.78</v>
      </c>
      <c r="I98" s="10">
        <v>41.4</v>
      </c>
      <c r="J98" s="10">
        <v>235</v>
      </c>
      <c r="K98" s="11">
        <v>0.49</v>
      </c>
      <c r="L98" s="12">
        <v>88</v>
      </c>
    </row>
    <row r="99" spans="1:12" x14ac:dyDescent="0.25">
      <c r="A99" s="125"/>
      <c r="B99" s="127"/>
      <c r="C99" s="125" t="s">
        <v>133</v>
      </c>
      <c r="D99" s="126"/>
      <c r="E99" s="127"/>
      <c r="F99" s="9">
        <v>40</v>
      </c>
      <c r="G99" s="10">
        <f>69.57/1000*40</f>
        <v>2.7827999999999999</v>
      </c>
      <c r="H99" s="10">
        <f>24.32/1000*40</f>
        <v>0.97280000000000011</v>
      </c>
      <c r="I99" s="10">
        <f>479.32/1000*40</f>
        <v>19.172799999999999</v>
      </c>
      <c r="J99" s="10">
        <f>2414/1000*40</f>
        <v>96.56</v>
      </c>
      <c r="K99" s="11">
        <v>0</v>
      </c>
      <c r="L99" s="9">
        <v>453</v>
      </c>
    </row>
    <row r="100" spans="1:12" x14ac:dyDescent="0.25">
      <c r="A100" s="125"/>
      <c r="B100" s="127"/>
      <c r="C100" s="125" t="s">
        <v>82</v>
      </c>
      <c r="D100" s="126"/>
      <c r="E100" s="127"/>
      <c r="F100" s="9">
        <v>150</v>
      </c>
      <c r="G100" s="10">
        <v>0.04</v>
      </c>
      <c r="H100" s="10">
        <v>0.01</v>
      </c>
      <c r="I100" s="10">
        <v>6.99</v>
      </c>
      <c r="J100" s="10">
        <v>28</v>
      </c>
      <c r="K100" s="11">
        <v>0.02</v>
      </c>
      <c r="L100" s="9">
        <v>392</v>
      </c>
    </row>
    <row r="101" spans="1:12" ht="15" customHeight="1" x14ac:dyDescent="0.25">
      <c r="A101" s="152" t="s">
        <v>113</v>
      </c>
      <c r="B101" s="153"/>
      <c r="C101" s="154"/>
      <c r="D101" s="155"/>
      <c r="E101" s="156"/>
      <c r="F101" s="15">
        <f t="shared" ref="F101:K101" si="4">SUM(F85:F100)</f>
        <v>1745</v>
      </c>
      <c r="G101" s="16">
        <f t="shared" si="4"/>
        <v>48.090599999999995</v>
      </c>
      <c r="H101" s="16">
        <f t="shared" si="4"/>
        <v>36.333099999999995</v>
      </c>
      <c r="I101" s="16">
        <f t="shared" si="4"/>
        <v>276.0881</v>
      </c>
      <c r="J101" s="16">
        <f t="shared" si="4"/>
        <v>1623.4074999999998</v>
      </c>
      <c r="K101" s="17">
        <f t="shared" si="4"/>
        <v>70.554999999999978</v>
      </c>
      <c r="L101" s="15"/>
    </row>
    <row r="102" spans="1:12" x14ac:dyDescent="0.25">
      <c r="A102" s="157" t="s">
        <v>149</v>
      </c>
      <c r="B102" s="158"/>
      <c r="C102" s="173" t="s">
        <v>139</v>
      </c>
      <c r="D102" s="133"/>
      <c r="E102" s="134"/>
      <c r="F102" s="18"/>
      <c r="G102" s="19"/>
      <c r="H102" s="19"/>
      <c r="I102" s="19"/>
      <c r="J102" s="19"/>
      <c r="K102" s="20"/>
      <c r="L102" s="18"/>
    </row>
    <row r="103" spans="1:12" ht="15" customHeight="1" x14ac:dyDescent="0.25">
      <c r="A103" s="125" t="s">
        <v>92</v>
      </c>
      <c r="B103" s="127"/>
      <c r="C103" s="125" t="s">
        <v>19</v>
      </c>
      <c r="D103" s="126"/>
      <c r="E103" s="127"/>
      <c r="F103" s="9">
        <v>200</v>
      </c>
      <c r="G103" s="10">
        <v>6</v>
      </c>
      <c r="H103" s="10">
        <v>8.1999999999999993</v>
      </c>
      <c r="I103" s="10">
        <v>29.3</v>
      </c>
      <c r="J103" s="10">
        <v>215</v>
      </c>
      <c r="K103" s="11">
        <v>0.22</v>
      </c>
      <c r="L103" s="13" t="s">
        <v>161</v>
      </c>
    </row>
    <row r="104" spans="1:12" ht="15" customHeight="1" x14ac:dyDescent="0.25">
      <c r="A104" s="125"/>
      <c r="B104" s="127"/>
      <c r="C104" s="125" t="s">
        <v>126</v>
      </c>
      <c r="D104" s="126"/>
      <c r="E104" s="127"/>
      <c r="F104" s="9">
        <v>45</v>
      </c>
      <c r="G104" s="10">
        <v>4.79</v>
      </c>
      <c r="H104" s="10">
        <v>6.32</v>
      </c>
      <c r="I104" s="10">
        <v>14.56</v>
      </c>
      <c r="J104" s="10">
        <v>134</v>
      </c>
      <c r="K104" s="11">
        <v>0.08</v>
      </c>
      <c r="L104" s="12">
        <v>3</v>
      </c>
    </row>
    <row r="105" spans="1:12" ht="15" customHeight="1" x14ac:dyDescent="0.25">
      <c r="A105" s="125"/>
      <c r="B105" s="127"/>
      <c r="C105" s="145" t="s">
        <v>164</v>
      </c>
      <c r="D105" s="146"/>
      <c r="E105" s="147"/>
      <c r="F105" s="9">
        <v>150</v>
      </c>
      <c r="G105" s="10">
        <v>3.15</v>
      </c>
      <c r="H105" s="10">
        <v>2.72</v>
      </c>
      <c r="I105" s="10">
        <v>12.96</v>
      </c>
      <c r="J105" s="10">
        <v>89</v>
      </c>
      <c r="K105" s="11">
        <v>1.2</v>
      </c>
      <c r="L105" s="9">
        <v>397</v>
      </c>
    </row>
    <row r="106" spans="1:12" ht="15" customHeight="1" x14ac:dyDescent="0.25">
      <c r="A106" s="125" t="s">
        <v>91</v>
      </c>
      <c r="B106" s="127"/>
      <c r="C106" s="159" t="s">
        <v>76</v>
      </c>
      <c r="D106" s="160"/>
      <c r="E106" s="161"/>
      <c r="F106" s="9">
        <v>180</v>
      </c>
      <c r="G106" s="10">
        <v>0.9</v>
      </c>
      <c r="H106" s="10">
        <v>0</v>
      </c>
      <c r="I106" s="10">
        <v>18.18</v>
      </c>
      <c r="J106" s="10">
        <v>76.81</v>
      </c>
      <c r="K106" s="11">
        <v>3.6</v>
      </c>
      <c r="L106" s="13">
        <v>399</v>
      </c>
    </row>
    <row r="107" spans="1:12" ht="15" customHeight="1" x14ac:dyDescent="0.25">
      <c r="A107" s="125"/>
      <c r="B107" s="127"/>
      <c r="C107" s="145" t="s">
        <v>23</v>
      </c>
      <c r="D107" s="146"/>
      <c r="E107" s="147"/>
      <c r="F107" s="21"/>
      <c r="G107" s="22"/>
      <c r="H107" s="22"/>
      <c r="I107" s="22"/>
      <c r="J107" s="22"/>
      <c r="K107" s="23"/>
      <c r="L107" s="21"/>
    </row>
    <row r="108" spans="1:12" ht="15" customHeight="1" x14ac:dyDescent="0.25">
      <c r="A108" s="125" t="s">
        <v>90</v>
      </c>
      <c r="B108" s="127"/>
      <c r="C108" s="145" t="s">
        <v>46</v>
      </c>
      <c r="D108" s="146"/>
      <c r="E108" s="147"/>
      <c r="F108" s="9">
        <v>250</v>
      </c>
      <c r="G108" s="10">
        <v>6.64</v>
      </c>
      <c r="H108" s="10">
        <v>5.18</v>
      </c>
      <c r="I108" s="10">
        <v>15.44</v>
      </c>
      <c r="J108" s="10">
        <v>135</v>
      </c>
      <c r="K108" s="11">
        <v>11.2</v>
      </c>
      <c r="L108" s="9">
        <v>83</v>
      </c>
    </row>
    <row r="109" spans="1:12" x14ac:dyDescent="0.25">
      <c r="A109" s="125"/>
      <c r="B109" s="127"/>
      <c r="C109" s="125" t="s">
        <v>131</v>
      </c>
      <c r="D109" s="126"/>
      <c r="E109" s="127"/>
      <c r="F109" s="9">
        <v>40</v>
      </c>
      <c r="G109" s="10">
        <f>69.57/1000*40</f>
        <v>2.7827999999999999</v>
      </c>
      <c r="H109" s="10">
        <f>24.32/1000*40</f>
        <v>0.97280000000000011</v>
      </c>
      <c r="I109" s="10">
        <f>479.32/1000*40</f>
        <v>19.172799999999999</v>
      </c>
      <c r="J109" s="10">
        <f>2414/1000*40</f>
        <v>96.56</v>
      </c>
      <c r="K109" s="11">
        <v>0</v>
      </c>
      <c r="L109" s="9">
        <v>453</v>
      </c>
    </row>
    <row r="110" spans="1:12" ht="15" customHeight="1" x14ac:dyDescent="0.25">
      <c r="A110" s="125"/>
      <c r="B110" s="127"/>
      <c r="C110" s="125" t="s">
        <v>55</v>
      </c>
      <c r="D110" s="126"/>
      <c r="E110" s="127"/>
      <c r="F110" s="9">
        <v>150</v>
      </c>
      <c r="G110" s="10">
        <v>6.6</v>
      </c>
      <c r="H110" s="10">
        <v>5.73</v>
      </c>
      <c r="I110" s="10">
        <v>37.880000000000003</v>
      </c>
      <c r="J110" s="10">
        <v>229.5</v>
      </c>
      <c r="K110" s="11">
        <v>0</v>
      </c>
      <c r="L110" s="13">
        <v>313</v>
      </c>
    </row>
    <row r="111" spans="1:12" ht="15" customHeight="1" x14ac:dyDescent="0.25">
      <c r="A111" s="125"/>
      <c r="B111" s="127"/>
      <c r="C111" s="125" t="s">
        <v>77</v>
      </c>
      <c r="D111" s="126"/>
      <c r="E111" s="127"/>
      <c r="F111" s="9">
        <v>180</v>
      </c>
      <c r="G111" s="10">
        <v>9.3699999999999992</v>
      </c>
      <c r="H111" s="10">
        <v>2.2799999999999998</v>
      </c>
      <c r="I111" s="10">
        <v>16.489999999999998</v>
      </c>
      <c r="J111" s="10">
        <v>124</v>
      </c>
      <c r="K111" s="11">
        <v>7.34</v>
      </c>
      <c r="L111" s="9">
        <v>302</v>
      </c>
    </row>
    <row r="112" spans="1:12" x14ac:dyDescent="0.25">
      <c r="A112" s="125"/>
      <c r="B112" s="127"/>
      <c r="C112" s="125" t="s">
        <v>27</v>
      </c>
      <c r="D112" s="126"/>
      <c r="E112" s="127"/>
      <c r="F112" s="9">
        <v>15</v>
      </c>
      <c r="G112" s="10">
        <v>0.21</v>
      </c>
      <c r="H112" s="10">
        <v>0.75</v>
      </c>
      <c r="I112" s="10">
        <v>0.88</v>
      </c>
      <c r="J112" s="10">
        <v>11.12</v>
      </c>
      <c r="K112" s="11">
        <v>5.0000000000000001E-3</v>
      </c>
      <c r="L112" s="14">
        <v>375</v>
      </c>
    </row>
    <row r="113" spans="1:12" ht="15" customHeight="1" x14ac:dyDescent="0.25">
      <c r="A113" s="125"/>
      <c r="B113" s="127"/>
      <c r="C113" s="125" t="s">
        <v>60</v>
      </c>
      <c r="D113" s="126"/>
      <c r="E113" s="127"/>
      <c r="F113" s="9">
        <v>60</v>
      </c>
      <c r="G113" s="10">
        <v>2.2799999999999998</v>
      </c>
      <c r="H113" s="10">
        <v>5.7</v>
      </c>
      <c r="I113" s="10">
        <v>4.28</v>
      </c>
      <c r="J113" s="10">
        <v>79.680000000000007</v>
      </c>
      <c r="K113" s="11">
        <v>4.92</v>
      </c>
      <c r="L113" s="9">
        <v>31</v>
      </c>
    </row>
    <row r="114" spans="1:12" ht="15" customHeight="1" x14ac:dyDescent="0.25">
      <c r="A114" s="125"/>
      <c r="B114" s="127"/>
      <c r="C114" s="125" t="s">
        <v>171</v>
      </c>
      <c r="D114" s="126"/>
      <c r="E114" s="127"/>
      <c r="F114" s="9">
        <v>150.00899999999999</v>
      </c>
      <c r="G114" s="10">
        <v>0.09</v>
      </c>
      <c r="H114" s="10">
        <v>0.08</v>
      </c>
      <c r="I114" s="10">
        <v>20.260000000000002</v>
      </c>
      <c r="J114" s="10">
        <v>82.05</v>
      </c>
      <c r="K114" s="11">
        <v>1.37</v>
      </c>
      <c r="L114" s="14">
        <v>378</v>
      </c>
    </row>
    <row r="115" spans="1:12" ht="15" customHeight="1" x14ac:dyDescent="0.25">
      <c r="A115" s="125"/>
      <c r="B115" s="127"/>
      <c r="C115" s="145" t="s">
        <v>71</v>
      </c>
      <c r="D115" s="146"/>
      <c r="E115" s="147"/>
      <c r="F115" s="9">
        <v>50</v>
      </c>
      <c r="G115" s="10">
        <v>6.3</v>
      </c>
      <c r="H115" s="10">
        <v>2.85</v>
      </c>
      <c r="I115" s="10">
        <v>18.149999999999999</v>
      </c>
      <c r="J115" s="10">
        <v>123</v>
      </c>
      <c r="K115" s="11">
        <v>0.05</v>
      </c>
      <c r="L115" s="12">
        <v>454</v>
      </c>
    </row>
    <row r="116" spans="1:12" ht="15" customHeight="1" x14ac:dyDescent="0.25">
      <c r="A116" s="125" t="s">
        <v>89</v>
      </c>
      <c r="B116" s="127"/>
      <c r="C116" s="125" t="s">
        <v>78</v>
      </c>
      <c r="D116" s="126"/>
      <c r="E116" s="127"/>
      <c r="F116" s="9">
        <v>160</v>
      </c>
      <c r="G116" s="10">
        <v>16</v>
      </c>
      <c r="H116" s="10">
        <v>14.78</v>
      </c>
      <c r="I116" s="10">
        <v>26.76</v>
      </c>
      <c r="J116" s="10">
        <v>304</v>
      </c>
      <c r="K116" s="11">
        <v>0.41</v>
      </c>
      <c r="L116" s="9">
        <v>304</v>
      </c>
    </row>
    <row r="117" spans="1:12" x14ac:dyDescent="0.25">
      <c r="A117" s="125"/>
      <c r="B117" s="127"/>
      <c r="C117" s="125" t="s">
        <v>133</v>
      </c>
      <c r="D117" s="126"/>
      <c r="E117" s="127"/>
      <c r="F117" s="9">
        <v>40</v>
      </c>
      <c r="G117" s="10">
        <f>69.57/1000*40</f>
        <v>2.7827999999999999</v>
      </c>
      <c r="H117" s="10">
        <f>24.32/1000*40</f>
        <v>0.97280000000000011</v>
      </c>
      <c r="I117" s="10">
        <f>479.32/1000*40</f>
        <v>19.172799999999999</v>
      </c>
      <c r="J117" s="10">
        <f>2414/1000*40</f>
        <v>96.56</v>
      </c>
      <c r="K117" s="11">
        <v>0</v>
      </c>
      <c r="L117" s="9">
        <v>453</v>
      </c>
    </row>
    <row r="118" spans="1:12" x14ac:dyDescent="0.25">
      <c r="A118" s="125"/>
      <c r="B118" s="127"/>
      <c r="C118" s="125" t="s">
        <v>163</v>
      </c>
      <c r="D118" s="126"/>
      <c r="E118" s="127"/>
      <c r="F118" s="9">
        <v>150</v>
      </c>
      <c r="G118" s="10">
        <v>0.14000000000000001</v>
      </c>
      <c r="H118" s="10">
        <v>0.01</v>
      </c>
      <c r="I118" s="10">
        <v>9.6199999999999992</v>
      </c>
      <c r="J118" s="10">
        <v>39</v>
      </c>
      <c r="K118" s="11">
        <v>0.02</v>
      </c>
      <c r="L118" s="9">
        <v>392</v>
      </c>
    </row>
    <row r="119" spans="1:12" x14ac:dyDescent="0.25">
      <c r="A119" s="152" t="s">
        <v>114</v>
      </c>
      <c r="B119" s="153"/>
      <c r="C119" s="154"/>
      <c r="D119" s="155"/>
      <c r="E119" s="156"/>
      <c r="F119" s="15">
        <f t="shared" ref="F119:K119" si="5">SUM(F103:F118)</f>
        <v>1820.009</v>
      </c>
      <c r="G119" s="16">
        <f t="shared" si="5"/>
        <v>68.035599999999988</v>
      </c>
      <c r="H119" s="16">
        <f t="shared" si="5"/>
        <v>56.5456</v>
      </c>
      <c r="I119" s="16">
        <f t="shared" si="5"/>
        <v>263.10559999999998</v>
      </c>
      <c r="J119" s="16">
        <f t="shared" si="5"/>
        <v>1835.2799999999997</v>
      </c>
      <c r="K119" s="17">
        <f t="shared" si="5"/>
        <v>30.414999999999999</v>
      </c>
      <c r="L119" s="15"/>
    </row>
    <row r="120" spans="1:12" ht="15" customHeight="1" x14ac:dyDescent="0.25">
      <c r="A120" s="157" t="s">
        <v>150</v>
      </c>
      <c r="B120" s="158"/>
      <c r="C120" s="173" t="s">
        <v>140</v>
      </c>
      <c r="D120" s="203"/>
      <c r="E120" s="174"/>
      <c r="F120" s="18"/>
      <c r="G120" s="19"/>
      <c r="H120" s="19"/>
      <c r="I120" s="19"/>
      <c r="J120" s="19"/>
      <c r="K120" s="20"/>
      <c r="L120" s="18"/>
    </row>
    <row r="121" spans="1:12" x14ac:dyDescent="0.25">
      <c r="A121" s="125" t="s">
        <v>92</v>
      </c>
      <c r="B121" s="127"/>
      <c r="C121" s="125" t="s">
        <v>79</v>
      </c>
      <c r="D121" s="126"/>
      <c r="E121" s="127"/>
      <c r="F121" s="9">
        <v>85</v>
      </c>
      <c r="G121" s="10">
        <v>6.52</v>
      </c>
      <c r="H121" s="10">
        <v>8.07</v>
      </c>
      <c r="I121" s="10">
        <v>8.41</v>
      </c>
      <c r="J121" s="10">
        <v>132</v>
      </c>
      <c r="K121" s="11">
        <v>0.7</v>
      </c>
      <c r="L121" s="14">
        <v>219</v>
      </c>
    </row>
    <row r="122" spans="1:12" x14ac:dyDescent="0.25">
      <c r="A122" s="125"/>
      <c r="B122" s="127"/>
      <c r="C122" s="125" t="s">
        <v>134</v>
      </c>
      <c r="D122" s="126"/>
      <c r="E122" s="127"/>
      <c r="F122" s="9">
        <v>40</v>
      </c>
      <c r="G122" s="10">
        <v>2.4500000000000002</v>
      </c>
      <c r="H122" s="10">
        <v>7.55</v>
      </c>
      <c r="I122" s="10">
        <v>14.62</v>
      </c>
      <c r="J122" s="10">
        <v>136</v>
      </c>
      <c r="K122" s="11">
        <v>0</v>
      </c>
      <c r="L122" s="12">
        <v>1</v>
      </c>
    </row>
    <row r="123" spans="1:12" x14ac:dyDescent="0.25">
      <c r="A123" s="125"/>
      <c r="B123" s="127"/>
      <c r="C123" s="125" t="s">
        <v>174</v>
      </c>
      <c r="D123" s="126"/>
      <c r="E123" s="127"/>
      <c r="F123" s="9">
        <v>40</v>
      </c>
      <c r="G123" s="10">
        <v>5.12</v>
      </c>
      <c r="H123" s="10">
        <v>8.8800000000000008</v>
      </c>
      <c r="I123" s="10">
        <v>0.6</v>
      </c>
      <c r="J123" s="10">
        <v>103</v>
      </c>
      <c r="K123" s="11">
        <v>0</v>
      </c>
      <c r="L123" s="12">
        <v>9</v>
      </c>
    </row>
    <row r="124" spans="1:12" ht="15" customHeight="1" x14ac:dyDescent="0.25">
      <c r="A124" s="125"/>
      <c r="B124" s="127"/>
      <c r="C124" s="145" t="s">
        <v>165</v>
      </c>
      <c r="D124" s="146"/>
      <c r="E124" s="147"/>
      <c r="F124" s="9">
        <v>150</v>
      </c>
      <c r="G124" s="10">
        <v>0.04</v>
      </c>
      <c r="H124" s="10">
        <v>0.01</v>
      </c>
      <c r="I124" s="10">
        <v>6.99</v>
      </c>
      <c r="J124" s="10">
        <v>28</v>
      </c>
      <c r="K124" s="11">
        <v>0.02</v>
      </c>
      <c r="L124" s="9">
        <v>392</v>
      </c>
    </row>
    <row r="125" spans="1:12" ht="15" customHeight="1" x14ac:dyDescent="0.25">
      <c r="A125" s="125" t="s">
        <v>91</v>
      </c>
      <c r="B125" s="127"/>
      <c r="C125" s="159" t="s">
        <v>75</v>
      </c>
      <c r="D125" s="160"/>
      <c r="E125" s="161"/>
      <c r="F125" s="9">
        <v>150</v>
      </c>
      <c r="G125" s="10">
        <v>4.58</v>
      </c>
      <c r="H125" s="10">
        <v>4.08</v>
      </c>
      <c r="I125" s="10">
        <v>7.58</v>
      </c>
      <c r="J125" s="10">
        <v>85</v>
      </c>
      <c r="K125" s="11">
        <v>2.0499999999999998</v>
      </c>
      <c r="L125" s="13">
        <v>400</v>
      </c>
    </row>
    <row r="126" spans="1:12" ht="15" customHeight="1" x14ac:dyDescent="0.25">
      <c r="A126" s="125"/>
      <c r="B126" s="127"/>
      <c r="C126" s="149" t="s">
        <v>68</v>
      </c>
      <c r="D126" s="150"/>
      <c r="E126" s="151"/>
      <c r="F126" s="9">
        <v>180</v>
      </c>
      <c r="G126" s="10">
        <v>5.22</v>
      </c>
      <c r="H126" s="10">
        <v>4.5</v>
      </c>
      <c r="I126" s="10">
        <v>7.2</v>
      </c>
      <c r="J126" s="10">
        <v>90</v>
      </c>
      <c r="K126" s="11">
        <v>1.26</v>
      </c>
      <c r="L126" s="9">
        <v>401</v>
      </c>
    </row>
    <row r="127" spans="1:12" x14ac:dyDescent="0.25">
      <c r="A127" s="125" t="s">
        <v>90</v>
      </c>
      <c r="B127" s="127"/>
      <c r="C127" s="125" t="s">
        <v>41</v>
      </c>
      <c r="D127" s="126"/>
      <c r="E127" s="127"/>
      <c r="F127" s="9">
        <v>250</v>
      </c>
      <c r="G127" s="10">
        <v>1.74</v>
      </c>
      <c r="H127" s="10">
        <v>4.8899999999999997</v>
      </c>
      <c r="I127" s="10">
        <v>8.48</v>
      </c>
      <c r="J127" s="10">
        <v>84.75</v>
      </c>
      <c r="K127" s="11">
        <v>18.47</v>
      </c>
      <c r="L127" s="12">
        <v>67</v>
      </c>
    </row>
    <row r="128" spans="1:12" x14ac:dyDescent="0.25">
      <c r="A128" s="125"/>
      <c r="B128" s="127"/>
      <c r="C128" s="125" t="s">
        <v>131</v>
      </c>
      <c r="D128" s="126"/>
      <c r="E128" s="127"/>
      <c r="F128" s="9">
        <v>40</v>
      </c>
      <c r="G128" s="10">
        <f>69.57/1000*40</f>
        <v>2.7827999999999999</v>
      </c>
      <c r="H128" s="10">
        <f>24.32/1000*40</f>
        <v>0.97280000000000011</v>
      </c>
      <c r="I128" s="10">
        <f>479.32/1000*40</f>
        <v>19.172799999999999</v>
      </c>
      <c r="J128" s="10">
        <f>2414/1000*40</f>
        <v>96.56</v>
      </c>
      <c r="K128" s="11">
        <v>0</v>
      </c>
      <c r="L128" s="9">
        <v>453</v>
      </c>
    </row>
    <row r="129" spans="1:12" ht="15" customHeight="1" x14ac:dyDescent="0.25">
      <c r="A129" s="125"/>
      <c r="B129" s="127"/>
      <c r="C129" s="145" t="s">
        <v>84</v>
      </c>
      <c r="D129" s="146"/>
      <c r="E129" s="147"/>
      <c r="F129" s="9">
        <v>150</v>
      </c>
      <c r="G129" s="10">
        <v>5.51</v>
      </c>
      <c r="H129" s="10">
        <v>4.5199999999999996</v>
      </c>
      <c r="I129" s="10">
        <v>26.45</v>
      </c>
      <c r="J129" s="10">
        <v>168.45</v>
      </c>
      <c r="K129" s="11">
        <v>0</v>
      </c>
      <c r="L129" s="9">
        <v>317</v>
      </c>
    </row>
    <row r="130" spans="1:12" x14ac:dyDescent="0.25">
      <c r="A130" s="125"/>
      <c r="B130" s="127"/>
      <c r="C130" s="125" t="s">
        <v>142</v>
      </c>
      <c r="D130" s="126"/>
      <c r="E130" s="127"/>
      <c r="F130" s="9">
        <v>80</v>
      </c>
      <c r="G130" s="10">
        <v>12.44</v>
      </c>
      <c r="H130" s="10">
        <v>9.24</v>
      </c>
      <c r="I130" s="10">
        <v>12.56</v>
      </c>
      <c r="J130" s="10">
        <v>183</v>
      </c>
      <c r="K130" s="11">
        <v>0.12</v>
      </c>
      <c r="L130" s="13">
        <v>282</v>
      </c>
    </row>
    <row r="131" spans="1:12" ht="15" customHeight="1" x14ac:dyDescent="0.25">
      <c r="A131" s="125"/>
      <c r="B131" s="127"/>
      <c r="C131" s="145" t="s">
        <v>24</v>
      </c>
      <c r="D131" s="146"/>
      <c r="E131" s="147"/>
      <c r="F131" s="9">
        <v>15</v>
      </c>
      <c r="G131" s="10">
        <v>0.17</v>
      </c>
      <c r="H131" s="10">
        <v>0.63</v>
      </c>
      <c r="I131" s="10">
        <v>1.2</v>
      </c>
      <c r="J131" s="10">
        <v>11.18</v>
      </c>
      <c r="K131" s="11">
        <v>0.36</v>
      </c>
      <c r="L131" s="14">
        <v>348</v>
      </c>
    </row>
    <row r="132" spans="1:12" ht="15" customHeight="1" x14ac:dyDescent="0.25">
      <c r="A132" s="125"/>
      <c r="B132" s="127"/>
      <c r="C132" s="145" t="s">
        <v>151</v>
      </c>
      <c r="D132" s="146"/>
      <c r="E132" s="147"/>
      <c r="F132" s="9">
        <v>60</v>
      </c>
      <c r="G132" s="10">
        <v>0.65</v>
      </c>
      <c r="H132" s="10">
        <v>3.7</v>
      </c>
      <c r="I132" s="10">
        <v>2.08</v>
      </c>
      <c r="J132" s="10">
        <v>44.22</v>
      </c>
      <c r="K132" s="11">
        <v>14.94</v>
      </c>
      <c r="L132" s="9">
        <v>14</v>
      </c>
    </row>
    <row r="133" spans="1:12" ht="15" customHeight="1" x14ac:dyDescent="0.25">
      <c r="A133" s="125"/>
      <c r="B133" s="127"/>
      <c r="C133" s="145" t="s">
        <v>169</v>
      </c>
      <c r="D133" s="146"/>
      <c r="E133" s="147"/>
      <c r="F133" s="9">
        <v>150</v>
      </c>
      <c r="G133" s="10">
        <v>0.36</v>
      </c>
      <c r="H133" s="10">
        <v>0.14000000000000001</v>
      </c>
      <c r="I133" s="10">
        <v>24.32</v>
      </c>
      <c r="J133" s="10">
        <v>100.05</v>
      </c>
      <c r="K133" s="11">
        <v>1.49</v>
      </c>
      <c r="L133" s="12">
        <v>377</v>
      </c>
    </row>
    <row r="134" spans="1:12" ht="15" customHeight="1" x14ac:dyDescent="0.25">
      <c r="A134" s="125"/>
      <c r="B134" s="127"/>
      <c r="C134" s="125" t="s">
        <v>72</v>
      </c>
      <c r="D134" s="126"/>
      <c r="E134" s="127"/>
      <c r="F134" s="9">
        <v>60</v>
      </c>
      <c r="G134" s="10">
        <v>3.26</v>
      </c>
      <c r="H134" s="10">
        <v>1.85</v>
      </c>
      <c r="I134" s="10">
        <v>20.23</v>
      </c>
      <c r="J134" s="10">
        <v>111</v>
      </c>
      <c r="K134" s="11">
        <v>0.05</v>
      </c>
      <c r="L134" s="12">
        <v>447</v>
      </c>
    </row>
    <row r="135" spans="1:12" x14ac:dyDescent="0.25">
      <c r="A135" s="125" t="s">
        <v>89</v>
      </c>
      <c r="B135" s="127"/>
      <c r="C135" s="125" t="s">
        <v>153</v>
      </c>
      <c r="D135" s="126"/>
      <c r="E135" s="127"/>
      <c r="F135" s="9">
        <v>150</v>
      </c>
      <c r="G135" s="10">
        <v>4.4400000000000004</v>
      </c>
      <c r="H135" s="10">
        <v>4.45</v>
      </c>
      <c r="I135" s="10">
        <v>13.45</v>
      </c>
      <c r="J135" s="10">
        <v>111.6</v>
      </c>
      <c r="K135" s="11">
        <v>0.68</v>
      </c>
      <c r="L135" s="9">
        <v>94</v>
      </c>
    </row>
    <row r="136" spans="1:12" x14ac:dyDescent="0.25">
      <c r="A136" s="125"/>
      <c r="B136" s="127"/>
      <c r="C136" s="125" t="s">
        <v>133</v>
      </c>
      <c r="D136" s="126"/>
      <c r="E136" s="127"/>
      <c r="F136" s="9">
        <v>40</v>
      </c>
      <c r="G136" s="10">
        <f>69.57/1000*40</f>
        <v>2.7827999999999999</v>
      </c>
      <c r="H136" s="10">
        <f>24.32/1000*40</f>
        <v>0.97280000000000011</v>
      </c>
      <c r="I136" s="10">
        <f>479.32/1000*40</f>
        <v>19.172799999999999</v>
      </c>
      <c r="J136" s="10">
        <f>2414/1000*40</f>
        <v>96.56</v>
      </c>
      <c r="K136" s="11">
        <v>0</v>
      </c>
      <c r="L136" s="9">
        <v>453</v>
      </c>
    </row>
    <row r="137" spans="1:12" x14ac:dyDescent="0.25">
      <c r="A137" s="125"/>
      <c r="B137" s="127"/>
      <c r="C137" s="125" t="s">
        <v>166</v>
      </c>
      <c r="D137" s="126"/>
      <c r="E137" s="127"/>
      <c r="F137" s="9">
        <v>150</v>
      </c>
      <c r="G137" s="10">
        <v>2.65</v>
      </c>
      <c r="H137" s="10">
        <v>2.33</v>
      </c>
      <c r="I137" s="10">
        <v>11.31</v>
      </c>
      <c r="J137" s="10">
        <v>77</v>
      </c>
      <c r="K137" s="11">
        <v>1.19</v>
      </c>
      <c r="L137" s="9">
        <v>394</v>
      </c>
    </row>
    <row r="138" spans="1:12" ht="15" customHeight="1" x14ac:dyDescent="0.25">
      <c r="A138" s="152" t="s">
        <v>115</v>
      </c>
      <c r="B138" s="153"/>
      <c r="C138" s="154"/>
      <c r="D138" s="155"/>
      <c r="E138" s="156"/>
      <c r="F138" s="15">
        <f t="shared" ref="F138:K138" si="6">SUM(F121:F137)</f>
        <v>1790</v>
      </c>
      <c r="G138" s="16">
        <f t="shared" si="6"/>
        <v>60.715599999999988</v>
      </c>
      <c r="H138" s="16">
        <f t="shared" si="6"/>
        <v>66.785600000000017</v>
      </c>
      <c r="I138" s="16">
        <f t="shared" si="6"/>
        <v>203.82559999999998</v>
      </c>
      <c r="J138" s="16">
        <f t="shared" si="6"/>
        <v>1658.37</v>
      </c>
      <c r="K138" s="17">
        <f t="shared" si="6"/>
        <v>41.33</v>
      </c>
      <c r="L138" s="15"/>
    </row>
    <row r="139" spans="1:12" ht="15" customHeight="1" x14ac:dyDescent="0.25">
      <c r="A139" s="157" t="s">
        <v>116</v>
      </c>
      <c r="B139" s="158"/>
      <c r="C139" s="173" t="s">
        <v>141</v>
      </c>
      <c r="D139" s="203"/>
      <c r="E139" s="174"/>
      <c r="F139" s="18"/>
      <c r="G139" s="19"/>
      <c r="H139" s="19"/>
      <c r="I139" s="19"/>
      <c r="J139" s="19"/>
      <c r="K139" s="20"/>
      <c r="L139" s="18"/>
    </row>
    <row r="140" spans="1:12" ht="15" customHeight="1" x14ac:dyDescent="0.25">
      <c r="A140" s="125" t="s">
        <v>92</v>
      </c>
      <c r="B140" s="127"/>
      <c r="C140" s="145" t="s">
        <v>17</v>
      </c>
      <c r="D140" s="146"/>
      <c r="E140" s="147"/>
      <c r="F140" s="9">
        <v>150</v>
      </c>
      <c r="G140" s="10">
        <v>4.17</v>
      </c>
      <c r="H140" s="10">
        <v>3.87</v>
      </c>
      <c r="I140" s="10">
        <v>13.76</v>
      </c>
      <c r="J140" s="10">
        <v>106.65</v>
      </c>
      <c r="K140" s="11">
        <v>0.68</v>
      </c>
      <c r="L140" s="12">
        <v>94</v>
      </c>
    </row>
    <row r="141" spans="1:12" x14ac:dyDescent="0.25">
      <c r="A141" s="125"/>
      <c r="B141" s="127"/>
      <c r="C141" s="125" t="s">
        <v>137</v>
      </c>
      <c r="D141" s="126"/>
      <c r="E141" s="127"/>
      <c r="F141" s="9">
        <v>55</v>
      </c>
      <c r="G141" s="10">
        <v>2.5099999999999998</v>
      </c>
      <c r="H141" s="10">
        <v>3.93</v>
      </c>
      <c r="I141" s="10">
        <v>28.88</v>
      </c>
      <c r="J141" s="10">
        <v>161</v>
      </c>
      <c r="K141" s="11">
        <v>0.48</v>
      </c>
      <c r="L141" s="12">
        <v>2</v>
      </c>
    </row>
    <row r="142" spans="1:12" ht="15" customHeight="1" x14ac:dyDescent="0.25">
      <c r="A142" s="125"/>
      <c r="B142" s="127"/>
      <c r="C142" s="145" t="s">
        <v>178</v>
      </c>
      <c r="D142" s="146"/>
      <c r="E142" s="147"/>
      <c r="F142" s="9">
        <v>150</v>
      </c>
      <c r="G142" s="10">
        <v>0.14000000000000001</v>
      </c>
      <c r="H142" s="10">
        <v>0.01</v>
      </c>
      <c r="I142" s="10">
        <v>9.6199999999999992</v>
      </c>
      <c r="J142" s="10">
        <v>39</v>
      </c>
      <c r="K142" s="11">
        <v>0.02</v>
      </c>
      <c r="L142" s="9">
        <v>392</v>
      </c>
    </row>
    <row r="143" spans="1:12" ht="15" customHeight="1" x14ac:dyDescent="0.25">
      <c r="A143" s="125" t="s">
        <v>91</v>
      </c>
      <c r="B143" s="127"/>
      <c r="C143" s="159" t="s">
        <v>76</v>
      </c>
      <c r="D143" s="160"/>
      <c r="E143" s="161"/>
      <c r="F143" s="9">
        <v>180</v>
      </c>
      <c r="G143" s="10">
        <v>1</v>
      </c>
      <c r="H143" s="10">
        <v>0</v>
      </c>
      <c r="I143" s="10">
        <v>25.4</v>
      </c>
      <c r="J143" s="10">
        <v>105.34</v>
      </c>
      <c r="K143" s="11">
        <v>8</v>
      </c>
      <c r="L143" s="13">
        <v>399</v>
      </c>
    </row>
    <row r="144" spans="1:12" ht="15" customHeight="1" x14ac:dyDescent="0.25">
      <c r="A144" s="125"/>
      <c r="B144" s="127"/>
      <c r="C144" s="149" t="s">
        <v>124</v>
      </c>
      <c r="D144" s="150"/>
      <c r="E144" s="151"/>
      <c r="F144" s="9">
        <v>75</v>
      </c>
      <c r="G144" s="10">
        <v>0.52500000000000002</v>
      </c>
      <c r="H144" s="10">
        <v>0.1275</v>
      </c>
      <c r="I144" s="10">
        <v>16.3125</v>
      </c>
      <c r="J144" s="10">
        <v>68.4375</v>
      </c>
      <c r="K144" s="11">
        <v>9.84</v>
      </c>
      <c r="L144" s="9">
        <v>369</v>
      </c>
    </row>
    <row r="145" spans="1:12" ht="15" customHeight="1" x14ac:dyDescent="0.25">
      <c r="A145" s="125" t="s">
        <v>90</v>
      </c>
      <c r="B145" s="127"/>
      <c r="C145" s="145" t="s">
        <v>45</v>
      </c>
      <c r="D145" s="146"/>
      <c r="E145" s="147"/>
      <c r="F145" s="21">
        <v>250</v>
      </c>
      <c r="G145" s="22">
        <v>2.69</v>
      </c>
      <c r="H145" s="22">
        <v>2.84</v>
      </c>
      <c r="I145" s="22">
        <v>17.14</v>
      </c>
      <c r="J145" s="22">
        <v>104.75</v>
      </c>
      <c r="K145" s="23">
        <v>8.25</v>
      </c>
      <c r="L145" s="21">
        <v>82</v>
      </c>
    </row>
    <row r="146" spans="1:12" x14ac:dyDescent="0.25">
      <c r="A146" s="125"/>
      <c r="B146" s="127"/>
      <c r="C146" s="125" t="s">
        <v>131</v>
      </c>
      <c r="D146" s="126"/>
      <c r="E146" s="127"/>
      <c r="F146" s="9">
        <v>40</v>
      </c>
      <c r="G146" s="10">
        <f>69.57/1000*40</f>
        <v>2.7827999999999999</v>
      </c>
      <c r="H146" s="10">
        <f>24.32/1000*40</f>
        <v>0.97280000000000011</v>
      </c>
      <c r="I146" s="10">
        <f>479.32/1000*40</f>
        <v>19.172799999999999</v>
      </c>
      <c r="J146" s="10">
        <f>2414/1000*40</f>
        <v>96.56</v>
      </c>
      <c r="K146" s="11">
        <v>0</v>
      </c>
      <c r="L146" s="9">
        <v>453</v>
      </c>
    </row>
    <row r="147" spans="1:12" ht="15" customHeight="1" x14ac:dyDescent="0.25">
      <c r="A147" s="125"/>
      <c r="B147" s="127"/>
      <c r="C147" s="145" t="s">
        <v>30</v>
      </c>
      <c r="D147" s="146"/>
      <c r="E147" s="147"/>
      <c r="F147" s="9">
        <v>150</v>
      </c>
      <c r="G147" s="10">
        <v>3.1</v>
      </c>
      <c r="H147" s="10">
        <v>4.46</v>
      </c>
      <c r="I147" s="10">
        <v>14.14</v>
      </c>
      <c r="J147" s="10">
        <v>112.65</v>
      </c>
      <c r="K147" s="11">
        <v>25.74</v>
      </c>
      <c r="L147" s="9">
        <v>336</v>
      </c>
    </row>
    <row r="148" spans="1:12" ht="15" customHeight="1" x14ac:dyDescent="0.25">
      <c r="A148" s="125"/>
      <c r="B148" s="127"/>
      <c r="C148" s="125" t="s">
        <v>29</v>
      </c>
      <c r="D148" s="126"/>
      <c r="E148" s="127"/>
      <c r="F148" s="9">
        <v>80</v>
      </c>
      <c r="G148" s="10">
        <v>10.15</v>
      </c>
      <c r="H148" s="10">
        <v>4.21</v>
      </c>
      <c r="I148" s="10">
        <v>10.67</v>
      </c>
      <c r="J148" s="10">
        <v>121</v>
      </c>
      <c r="K148" s="11">
        <v>0.26</v>
      </c>
      <c r="L148" s="13">
        <v>261</v>
      </c>
    </row>
    <row r="149" spans="1:12" ht="15" customHeight="1" x14ac:dyDescent="0.25">
      <c r="A149" s="125"/>
      <c r="B149" s="127"/>
      <c r="C149" s="145" t="s">
        <v>27</v>
      </c>
      <c r="D149" s="146"/>
      <c r="E149" s="147"/>
      <c r="F149" s="9">
        <v>15</v>
      </c>
      <c r="G149" s="10">
        <v>0.21</v>
      </c>
      <c r="H149" s="10">
        <v>0.75</v>
      </c>
      <c r="I149" s="10">
        <v>0.88</v>
      </c>
      <c r="J149" s="10">
        <v>11.12</v>
      </c>
      <c r="K149" s="11">
        <v>5.0000000000000001E-3</v>
      </c>
      <c r="L149" s="9">
        <v>375</v>
      </c>
    </row>
    <row r="150" spans="1:12" x14ac:dyDescent="0.25">
      <c r="A150" s="125"/>
      <c r="B150" s="127"/>
      <c r="C150" s="125" t="s">
        <v>154</v>
      </c>
      <c r="D150" s="126"/>
      <c r="E150" s="127"/>
      <c r="F150" s="9">
        <v>60</v>
      </c>
      <c r="G150" s="10">
        <v>179</v>
      </c>
      <c r="H150" s="10">
        <v>3.11</v>
      </c>
      <c r="I150" s="10">
        <v>3.75</v>
      </c>
      <c r="J150" s="10">
        <v>50.16</v>
      </c>
      <c r="K150" s="11">
        <v>6.6</v>
      </c>
      <c r="L150" s="9">
        <v>10</v>
      </c>
    </row>
    <row r="151" spans="1:12" x14ac:dyDescent="0.25">
      <c r="A151" s="125"/>
      <c r="B151" s="127"/>
      <c r="C151" s="125" t="s">
        <v>172</v>
      </c>
      <c r="D151" s="126"/>
      <c r="E151" s="127"/>
      <c r="F151" s="9">
        <v>150</v>
      </c>
      <c r="G151" s="10">
        <v>0.33</v>
      </c>
      <c r="H151" s="10">
        <v>0.01</v>
      </c>
      <c r="I151" s="10">
        <v>20.83</v>
      </c>
      <c r="J151" s="10">
        <v>84.75</v>
      </c>
      <c r="K151" s="11">
        <v>0.3</v>
      </c>
      <c r="L151" s="9">
        <v>376</v>
      </c>
    </row>
    <row r="152" spans="1:12" ht="15" customHeight="1" x14ac:dyDescent="0.25">
      <c r="A152" s="125"/>
      <c r="B152" s="127"/>
      <c r="C152" s="167" t="s">
        <v>73</v>
      </c>
      <c r="D152" s="168"/>
      <c r="E152" s="169"/>
      <c r="F152" s="9">
        <v>35</v>
      </c>
      <c r="G152" s="10">
        <v>2.23</v>
      </c>
      <c r="H152" s="10">
        <v>0.74</v>
      </c>
      <c r="I152" s="10">
        <v>22.06</v>
      </c>
      <c r="J152" s="10">
        <v>111</v>
      </c>
      <c r="K152" s="11">
        <v>0.04</v>
      </c>
      <c r="L152" s="9">
        <v>458</v>
      </c>
    </row>
    <row r="153" spans="1:12" ht="15" customHeight="1" x14ac:dyDescent="0.25">
      <c r="A153" s="125" t="s">
        <v>89</v>
      </c>
      <c r="B153" s="127"/>
      <c r="C153" s="145" t="s">
        <v>80</v>
      </c>
      <c r="D153" s="146"/>
      <c r="E153" s="147"/>
      <c r="F153" s="9">
        <v>50</v>
      </c>
      <c r="G153" s="10">
        <v>8.8800000000000008</v>
      </c>
      <c r="H153" s="10">
        <v>6.05</v>
      </c>
      <c r="I153" s="10">
        <v>9.19</v>
      </c>
      <c r="J153" s="10">
        <v>127</v>
      </c>
      <c r="K153" s="11">
        <v>0.12</v>
      </c>
      <c r="L153" s="12">
        <v>237</v>
      </c>
    </row>
    <row r="154" spans="1:12" ht="15" customHeight="1" x14ac:dyDescent="0.25">
      <c r="A154" s="125"/>
      <c r="B154" s="127"/>
      <c r="C154" s="125" t="s">
        <v>133</v>
      </c>
      <c r="D154" s="126"/>
      <c r="E154" s="127"/>
      <c r="F154" s="9">
        <v>40</v>
      </c>
      <c r="G154" s="10">
        <f>69.57/1000*40</f>
        <v>2.7827999999999999</v>
      </c>
      <c r="H154" s="10">
        <f>24.32/1000*40</f>
        <v>0.97280000000000011</v>
      </c>
      <c r="I154" s="10">
        <f>479.32/1000*40</f>
        <v>19.172799999999999</v>
      </c>
      <c r="J154" s="10">
        <f>2414/1000*40</f>
        <v>96.56</v>
      </c>
      <c r="K154" s="11">
        <v>0</v>
      </c>
      <c r="L154" s="9">
        <v>453</v>
      </c>
    </row>
    <row r="155" spans="1:12" ht="15" customHeight="1" x14ac:dyDescent="0.25">
      <c r="A155" s="125"/>
      <c r="B155" s="127"/>
      <c r="C155" s="125" t="s">
        <v>176</v>
      </c>
      <c r="D155" s="126"/>
      <c r="E155" s="127"/>
      <c r="F155" s="9">
        <v>150</v>
      </c>
      <c r="G155" s="10">
        <v>0.04</v>
      </c>
      <c r="H155" s="10">
        <v>0.01</v>
      </c>
      <c r="I155" s="10">
        <v>6.99</v>
      </c>
      <c r="J155" s="10">
        <v>28</v>
      </c>
      <c r="K155" s="11">
        <v>0.02</v>
      </c>
      <c r="L155" s="9">
        <v>392</v>
      </c>
    </row>
    <row r="156" spans="1:12" x14ac:dyDescent="0.25">
      <c r="A156" s="152" t="s">
        <v>117</v>
      </c>
      <c r="B156" s="153"/>
      <c r="C156" s="154"/>
      <c r="D156" s="155"/>
      <c r="E156" s="156"/>
      <c r="F156" s="15">
        <f t="shared" ref="F156:K156" si="7">SUM(F140:F155)</f>
        <v>1630</v>
      </c>
      <c r="G156" s="16">
        <f t="shared" si="7"/>
        <v>220.54060000000001</v>
      </c>
      <c r="H156" s="16">
        <f t="shared" si="7"/>
        <v>32.063099999999999</v>
      </c>
      <c r="I156" s="16">
        <f t="shared" si="7"/>
        <v>237.96809999999999</v>
      </c>
      <c r="J156" s="16">
        <f t="shared" si="7"/>
        <v>1423.9775</v>
      </c>
      <c r="K156" s="17">
        <f t="shared" si="7"/>
        <v>60.354999999999997</v>
      </c>
      <c r="L156" s="15"/>
    </row>
    <row r="157" spans="1:12" x14ac:dyDescent="0.25">
      <c r="A157" s="157" t="s">
        <v>155</v>
      </c>
      <c r="B157" s="158"/>
      <c r="C157" s="173" t="s">
        <v>143</v>
      </c>
      <c r="D157" s="203"/>
      <c r="E157" s="174"/>
      <c r="F157" s="18"/>
      <c r="G157" s="19"/>
      <c r="H157" s="19"/>
      <c r="I157" s="19"/>
      <c r="J157" s="19"/>
      <c r="K157" s="20"/>
      <c r="L157" s="24"/>
    </row>
    <row r="158" spans="1:12" ht="15" customHeight="1" x14ac:dyDescent="0.25">
      <c r="A158" s="143" t="s">
        <v>107</v>
      </c>
      <c r="B158" s="144"/>
      <c r="C158" s="145" t="s">
        <v>18</v>
      </c>
      <c r="D158" s="146"/>
      <c r="E158" s="147"/>
      <c r="F158" s="9">
        <v>200</v>
      </c>
      <c r="G158" s="10">
        <v>5</v>
      </c>
      <c r="H158" s="10">
        <v>8.1999999999999993</v>
      </c>
      <c r="I158" s="10">
        <v>30.3</v>
      </c>
      <c r="J158" s="10">
        <v>215</v>
      </c>
      <c r="K158" s="11">
        <v>0.22</v>
      </c>
      <c r="L158" s="13" t="s">
        <v>162</v>
      </c>
    </row>
    <row r="159" spans="1:12" x14ac:dyDescent="0.25">
      <c r="A159" s="125"/>
      <c r="B159" s="127"/>
      <c r="C159" s="125" t="s">
        <v>126</v>
      </c>
      <c r="D159" s="126"/>
      <c r="E159" s="127"/>
      <c r="F159" s="9">
        <v>45</v>
      </c>
      <c r="G159" s="10">
        <v>4.79</v>
      </c>
      <c r="H159" s="10">
        <v>6.32</v>
      </c>
      <c r="I159" s="10">
        <v>14.56</v>
      </c>
      <c r="J159" s="10">
        <v>134</v>
      </c>
      <c r="K159" s="11">
        <v>0.08</v>
      </c>
      <c r="L159" s="12">
        <v>3</v>
      </c>
    </row>
    <row r="160" spans="1:12" x14ac:dyDescent="0.25">
      <c r="A160" s="125"/>
      <c r="B160" s="127"/>
      <c r="C160" s="125" t="s">
        <v>166</v>
      </c>
      <c r="D160" s="126"/>
      <c r="E160" s="127"/>
      <c r="F160" s="9">
        <v>150</v>
      </c>
      <c r="G160" s="10">
        <v>2.65</v>
      </c>
      <c r="H160" s="10">
        <v>2.33</v>
      </c>
      <c r="I160" s="10">
        <v>11.31</v>
      </c>
      <c r="J160" s="10">
        <v>77</v>
      </c>
      <c r="K160" s="11">
        <v>1.19</v>
      </c>
      <c r="L160" s="9">
        <v>394</v>
      </c>
    </row>
    <row r="161" spans="1:12" ht="15" customHeight="1" x14ac:dyDescent="0.25">
      <c r="A161" s="125" t="s">
        <v>91</v>
      </c>
      <c r="B161" s="127"/>
      <c r="C161" s="159" t="s">
        <v>75</v>
      </c>
      <c r="D161" s="160"/>
      <c r="E161" s="161"/>
      <c r="F161" s="9">
        <v>150</v>
      </c>
      <c r="G161" s="10">
        <v>4.58</v>
      </c>
      <c r="H161" s="10">
        <v>4.08</v>
      </c>
      <c r="I161" s="10">
        <v>7.58</v>
      </c>
      <c r="J161" s="10">
        <v>85</v>
      </c>
      <c r="K161" s="11">
        <v>2.0499999999999998</v>
      </c>
      <c r="L161" s="13">
        <v>400</v>
      </c>
    </row>
    <row r="162" spans="1:12" ht="15" customHeight="1" x14ac:dyDescent="0.25">
      <c r="A162" s="125"/>
      <c r="B162" s="127"/>
      <c r="C162" s="149" t="s">
        <v>68</v>
      </c>
      <c r="D162" s="150"/>
      <c r="E162" s="151"/>
      <c r="F162" s="9">
        <v>180</v>
      </c>
      <c r="G162" s="10">
        <v>5.22</v>
      </c>
      <c r="H162" s="10">
        <v>4.5</v>
      </c>
      <c r="I162" s="10">
        <v>7.2</v>
      </c>
      <c r="J162" s="10">
        <v>90</v>
      </c>
      <c r="K162" s="11">
        <v>1.26</v>
      </c>
      <c r="L162" s="9">
        <v>401</v>
      </c>
    </row>
    <row r="163" spans="1:12" x14ac:dyDescent="0.25">
      <c r="A163" s="125" t="s">
        <v>90</v>
      </c>
      <c r="B163" s="127"/>
      <c r="C163" s="125" t="s">
        <v>48</v>
      </c>
      <c r="D163" s="126"/>
      <c r="E163" s="127"/>
      <c r="F163" s="9">
        <v>250</v>
      </c>
      <c r="G163" s="10">
        <v>2.06</v>
      </c>
      <c r="H163" s="10">
        <v>3.1</v>
      </c>
      <c r="I163" s="10">
        <v>12.58</v>
      </c>
      <c r="J163" s="10">
        <v>86.5</v>
      </c>
      <c r="K163" s="11">
        <v>5.75</v>
      </c>
      <c r="L163" s="13">
        <v>85</v>
      </c>
    </row>
    <row r="164" spans="1:12" x14ac:dyDescent="0.25">
      <c r="A164" s="125"/>
      <c r="B164" s="127"/>
      <c r="C164" s="125" t="s">
        <v>131</v>
      </c>
      <c r="D164" s="126"/>
      <c r="E164" s="127"/>
      <c r="F164" s="9">
        <v>40</v>
      </c>
      <c r="G164" s="10">
        <f>69.57/1000*40</f>
        <v>2.7827999999999999</v>
      </c>
      <c r="H164" s="10">
        <f>24.32/1000*40</f>
        <v>0.97280000000000011</v>
      </c>
      <c r="I164" s="10">
        <f>479.32/1000*40</f>
        <v>19.172799999999999</v>
      </c>
      <c r="J164" s="10">
        <f>2414/1000*40</f>
        <v>96.56</v>
      </c>
      <c r="K164" s="11">
        <v>0</v>
      </c>
      <c r="L164" s="9">
        <v>453</v>
      </c>
    </row>
    <row r="165" spans="1:12" x14ac:dyDescent="0.25">
      <c r="A165" s="125"/>
      <c r="B165" s="127"/>
      <c r="C165" s="125" t="s">
        <v>54</v>
      </c>
      <c r="D165" s="126"/>
      <c r="E165" s="127"/>
      <c r="F165" s="9">
        <v>150</v>
      </c>
      <c r="G165" s="10">
        <v>4.79</v>
      </c>
      <c r="H165" s="10">
        <v>4.43</v>
      </c>
      <c r="I165" s="10">
        <v>30.88</v>
      </c>
      <c r="J165" s="10">
        <v>182.55</v>
      </c>
      <c r="K165" s="11">
        <v>0</v>
      </c>
      <c r="L165" s="12">
        <v>313</v>
      </c>
    </row>
    <row r="166" spans="1:12" ht="15" customHeight="1" x14ac:dyDescent="0.25">
      <c r="A166" s="125"/>
      <c r="B166" s="127"/>
      <c r="C166" s="145" t="s">
        <v>56</v>
      </c>
      <c r="D166" s="146"/>
      <c r="E166" s="147"/>
      <c r="F166" s="9">
        <v>80</v>
      </c>
      <c r="G166" s="10">
        <v>11.93</v>
      </c>
      <c r="H166" s="10">
        <v>12.62</v>
      </c>
      <c r="I166" s="10">
        <v>8.09</v>
      </c>
      <c r="J166" s="10">
        <v>194</v>
      </c>
      <c r="K166" s="11">
        <v>0.4</v>
      </c>
      <c r="L166" s="9">
        <v>306</v>
      </c>
    </row>
    <row r="167" spans="1:12" x14ac:dyDescent="0.25">
      <c r="A167" s="125"/>
      <c r="B167" s="127"/>
      <c r="C167" s="125" t="s">
        <v>52</v>
      </c>
      <c r="D167" s="126"/>
      <c r="E167" s="127"/>
      <c r="F167" s="9">
        <v>15</v>
      </c>
      <c r="G167" s="10">
        <v>0.24</v>
      </c>
      <c r="H167" s="10">
        <v>0.88</v>
      </c>
      <c r="I167" s="10">
        <v>1.06</v>
      </c>
      <c r="J167" s="10">
        <v>13.13</v>
      </c>
      <c r="K167" s="11">
        <v>0.19</v>
      </c>
      <c r="L167" s="13">
        <v>356</v>
      </c>
    </row>
    <row r="168" spans="1:12" ht="15" customHeight="1" x14ac:dyDescent="0.25">
      <c r="A168" s="125"/>
      <c r="B168" s="127"/>
      <c r="C168" s="145" t="s">
        <v>156</v>
      </c>
      <c r="D168" s="146"/>
      <c r="E168" s="147"/>
      <c r="F168" s="9">
        <v>60</v>
      </c>
      <c r="G168" s="10">
        <v>0.59</v>
      </c>
      <c r="H168" s="10">
        <v>3.69</v>
      </c>
      <c r="I168" s="10">
        <v>2.2400000000000002</v>
      </c>
      <c r="J168" s="10">
        <v>44.52</v>
      </c>
      <c r="K168" s="11">
        <v>10.06</v>
      </c>
      <c r="L168" s="9">
        <v>15</v>
      </c>
    </row>
    <row r="169" spans="1:12" ht="15" customHeight="1" x14ac:dyDescent="0.25">
      <c r="A169" s="125"/>
      <c r="B169" s="127"/>
      <c r="C169" s="145" t="s">
        <v>65</v>
      </c>
      <c r="D169" s="146"/>
      <c r="E169" s="147"/>
      <c r="F169" s="9">
        <v>150</v>
      </c>
      <c r="G169" s="10">
        <v>0.33</v>
      </c>
      <c r="H169" s="10">
        <v>0.01</v>
      </c>
      <c r="I169" s="10">
        <v>20.83</v>
      </c>
      <c r="J169" s="10">
        <v>84.75</v>
      </c>
      <c r="K169" s="11">
        <v>0.3</v>
      </c>
      <c r="L169" s="9">
        <v>375</v>
      </c>
    </row>
    <row r="170" spans="1:12" x14ac:dyDescent="0.25">
      <c r="A170" s="125"/>
      <c r="B170" s="127"/>
      <c r="C170" s="125" t="s">
        <v>70</v>
      </c>
      <c r="D170" s="126"/>
      <c r="E170" s="127"/>
      <c r="F170" s="9">
        <v>50</v>
      </c>
      <c r="G170" s="10">
        <v>8.0299999999999994</v>
      </c>
      <c r="H170" s="10">
        <v>6.69</v>
      </c>
      <c r="I170" s="10">
        <v>13.97</v>
      </c>
      <c r="J170" s="10">
        <v>148</v>
      </c>
      <c r="K170" s="11">
        <v>0.28999999999999998</v>
      </c>
      <c r="L170" s="14">
        <v>465</v>
      </c>
    </row>
    <row r="171" spans="1:12" ht="15" customHeight="1" x14ac:dyDescent="0.25">
      <c r="A171" s="132" t="s">
        <v>89</v>
      </c>
      <c r="B171" s="134"/>
      <c r="C171" s="145" t="s">
        <v>38</v>
      </c>
      <c r="D171" s="146"/>
      <c r="E171" s="147"/>
      <c r="F171" s="9">
        <v>180</v>
      </c>
      <c r="G171" s="10">
        <v>13.13</v>
      </c>
      <c r="H171" s="10">
        <v>13.89</v>
      </c>
      <c r="I171" s="10">
        <v>7.92</v>
      </c>
      <c r="J171" s="10">
        <v>150</v>
      </c>
      <c r="K171" s="11">
        <v>11.84</v>
      </c>
      <c r="L171" s="12">
        <v>267</v>
      </c>
    </row>
    <row r="172" spans="1:12" x14ac:dyDescent="0.25">
      <c r="A172" s="125"/>
      <c r="B172" s="127"/>
      <c r="C172" s="125" t="s">
        <v>133</v>
      </c>
      <c r="D172" s="126"/>
      <c r="E172" s="127"/>
      <c r="F172" s="9">
        <v>40</v>
      </c>
      <c r="G172" s="10">
        <f>69.57/1000*40</f>
        <v>2.7827999999999999</v>
      </c>
      <c r="H172" s="10">
        <f>24.32/1000*40</f>
        <v>0.97280000000000011</v>
      </c>
      <c r="I172" s="10">
        <f>479.32/1000*40</f>
        <v>19.172799999999999</v>
      </c>
      <c r="J172" s="10">
        <f>2414/1000*40</f>
        <v>96.56</v>
      </c>
      <c r="K172" s="11">
        <v>0</v>
      </c>
      <c r="L172" s="9">
        <v>453</v>
      </c>
    </row>
    <row r="173" spans="1:12" x14ac:dyDescent="0.25">
      <c r="A173" s="125"/>
      <c r="B173" s="127"/>
      <c r="C173" s="145" t="s">
        <v>164</v>
      </c>
      <c r="D173" s="146"/>
      <c r="E173" s="147"/>
      <c r="F173" s="9">
        <v>150</v>
      </c>
      <c r="G173" s="10">
        <v>3.15</v>
      </c>
      <c r="H173" s="10">
        <v>2.72</v>
      </c>
      <c r="I173" s="10">
        <v>12.96</v>
      </c>
      <c r="J173" s="10">
        <v>89</v>
      </c>
      <c r="K173" s="11">
        <v>1.2</v>
      </c>
      <c r="L173" s="9">
        <v>397</v>
      </c>
    </row>
    <row r="174" spans="1:12" x14ac:dyDescent="0.25">
      <c r="A174" s="152" t="s">
        <v>118</v>
      </c>
      <c r="B174" s="153"/>
      <c r="C174" s="154"/>
      <c r="D174" s="155"/>
      <c r="E174" s="156"/>
      <c r="F174" s="15">
        <f t="shared" ref="F174:K174" si="8">SUM(F158:F173)</f>
        <v>1890</v>
      </c>
      <c r="G174" s="16">
        <f t="shared" si="8"/>
        <v>72.055599999999998</v>
      </c>
      <c r="H174" s="16">
        <f t="shared" si="8"/>
        <v>75.405599999999993</v>
      </c>
      <c r="I174" s="16">
        <f t="shared" si="8"/>
        <v>219.82559999999998</v>
      </c>
      <c r="J174" s="16">
        <f t="shared" si="8"/>
        <v>1786.57</v>
      </c>
      <c r="K174" s="17">
        <f t="shared" si="8"/>
        <v>34.830000000000005</v>
      </c>
      <c r="L174" s="15"/>
    </row>
    <row r="175" spans="1:12" x14ac:dyDescent="0.25">
      <c r="A175" s="157" t="s">
        <v>157</v>
      </c>
      <c r="B175" s="158"/>
      <c r="C175" s="173" t="s">
        <v>147</v>
      </c>
      <c r="D175" s="203"/>
      <c r="E175" s="203"/>
      <c r="F175" s="203"/>
      <c r="G175" s="203"/>
      <c r="H175" s="203"/>
      <c r="I175" s="203"/>
      <c r="J175" s="203"/>
      <c r="K175" s="203"/>
      <c r="L175" s="174"/>
    </row>
    <row r="176" spans="1:12" x14ac:dyDescent="0.25">
      <c r="A176" s="143" t="s">
        <v>92</v>
      </c>
      <c r="B176" s="144"/>
      <c r="C176" s="125" t="s">
        <v>179</v>
      </c>
      <c r="D176" s="126"/>
      <c r="E176" s="127"/>
      <c r="F176" s="9">
        <v>200</v>
      </c>
      <c r="G176" s="10">
        <f>28.75/1000*200</f>
        <v>5.75</v>
      </c>
      <c r="H176" s="10">
        <f>26.06/1000*200</f>
        <v>5.2119999999999997</v>
      </c>
      <c r="I176" s="10">
        <f>94.19/1000*200</f>
        <v>18.838000000000001</v>
      </c>
      <c r="J176" s="10">
        <f>726/1000*200</f>
        <v>145.19999999999999</v>
      </c>
      <c r="K176" s="11">
        <f>4.55/1000*200</f>
        <v>0.91</v>
      </c>
      <c r="L176" s="9">
        <v>93</v>
      </c>
    </row>
    <row r="177" spans="1:12" x14ac:dyDescent="0.25">
      <c r="A177" s="125"/>
      <c r="B177" s="127"/>
      <c r="C177" s="125" t="s">
        <v>137</v>
      </c>
      <c r="D177" s="126"/>
      <c r="E177" s="127"/>
      <c r="F177" s="9">
        <v>55</v>
      </c>
      <c r="G177" s="10">
        <v>2.5099999999999998</v>
      </c>
      <c r="H177" s="10">
        <v>3.93</v>
      </c>
      <c r="I177" s="10">
        <v>28.88</v>
      </c>
      <c r="J177" s="10">
        <v>161</v>
      </c>
      <c r="K177" s="11">
        <v>0.48</v>
      </c>
      <c r="L177" s="12">
        <v>2</v>
      </c>
    </row>
    <row r="178" spans="1:12" x14ac:dyDescent="0.25">
      <c r="A178" s="125"/>
      <c r="B178" s="127"/>
      <c r="C178" s="125" t="s">
        <v>165</v>
      </c>
      <c r="D178" s="126"/>
      <c r="E178" s="127"/>
      <c r="F178" s="9">
        <v>150</v>
      </c>
      <c r="G178" s="10">
        <v>0.04</v>
      </c>
      <c r="H178" s="10">
        <v>0.01</v>
      </c>
      <c r="I178" s="10">
        <v>6.99</v>
      </c>
      <c r="J178" s="10">
        <v>28</v>
      </c>
      <c r="K178" s="11">
        <v>0.02</v>
      </c>
      <c r="L178" s="9">
        <v>392</v>
      </c>
    </row>
    <row r="179" spans="1:12" ht="15" customHeight="1" x14ac:dyDescent="0.25">
      <c r="A179" s="125" t="s">
        <v>91</v>
      </c>
      <c r="B179" s="127"/>
      <c r="C179" s="159" t="s">
        <v>76</v>
      </c>
      <c r="D179" s="160"/>
      <c r="E179" s="161"/>
      <c r="F179" s="9">
        <v>180</v>
      </c>
      <c r="G179" s="10">
        <v>1</v>
      </c>
      <c r="H179" s="10">
        <v>0</v>
      </c>
      <c r="I179" s="10">
        <v>25.4</v>
      </c>
      <c r="J179" s="10">
        <v>105.34</v>
      </c>
      <c r="K179" s="11">
        <v>8</v>
      </c>
      <c r="L179" s="13">
        <v>399</v>
      </c>
    </row>
    <row r="180" spans="1:12" ht="15" customHeight="1" x14ac:dyDescent="0.25">
      <c r="A180" s="125"/>
      <c r="B180" s="127"/>
      <c r="C180" s="149" t="s">
        <v>124</v>
      </c>
      <c r="D180" s="150"/>
      <c r="E180" s="151"/>
      <c r="F180" s="9">
        <v>75</v>
      </c>
      <c r="G180" s="10">
        <v>0.52500000000000002</v>
      </c>
      <c r="H180" s="10">
        <v>0.1275</v>
      </c>
      <c r="I180" s="10">
        <v>16.3125</v>
      </c>
      <c r="J180" s="10">
        <v>68.4375</v>
      </c>
      <c r="K180" s="11">
        <v>9.84</v>
      </c>
      <c r="L180" s="9">
        <v>369</v>
      </c>
    </row>
    <row r="181" spans="1:12" ht="15" customHeight="1" x14ac:dyDescent="0.25">
      <c r="A181" s="148" t="s">
        <v>90</v>
      </c>
      <c r="B181" s="144"/>
      <c r="C181" s="145" t="s">
        <v>47</v>
      </c>
      <c r="D181" s="146"/>
      <c r="E181" s="147"/>
      <c r="F181" s="21">
        <v>250</v>
      </c>
      <c r="G181" s="22">
        <v>5.6</v>
      </c>
      <c r="H181" s="22">
        <v>3.03</v>
      </c>
      <c r="I181" s="22">
        <v>15.67</v>
      </c>
      <c r="J181" s="22">
        <v>112.25</v>
      </c>
      <c r="K181" s="23">
        <v>11.18</v>
      </c>
      <c r="L181" s="21">
        <v>84</v>
      </c>
    </row>
    <row r="182" spans="1:12" x14ac:dyDescent="0.25">
      <c r="A182" s="125"/>
      <c r="B182" s="127"/>
      <c r="C182" s="125" t="s">
        <v>131</v>
      </c>
      <c r="D182" s="126"/>
      <c r="E182" s="127"/>
      <c r="F182" s="9">
        <v>40</v>
      </c>
      <c r="G182" s="10">
        <f>69.57/1000*40</f>
        <v>2.7827999999999999</v>
      </c>
      <c r="H182" s="10">
        <f>24.32/1000*40</f>
        <v>0.97280000000000011</v>
      </c>
      <c r="I182" s="10">
        <f>479.32/1000*40</f>
        <v>19.172799999999999</v>
      </c>
      <c r="J182" s="10">
        <f>2414/1000*40</f>
        <v>96.56</v>
      </c>
      <c r="K182" s="11">
        <v>0</v>
      </c>
      <c r="L182" s="9">
        <v>453</v>
      </c>
    </row>
    <row r="183" spans="1:12" ht="15" customHeight="1" x14ac:dyDescent="0.25">
      <c r="A183" s="143"/>
      <c r="B183" s="144"/>
      <c r="C183" s="145" t="s">
        <v>53</v>
      </c>
      <c r="D183" s="146"/>
      <c r="E183" s="147"/>
      <c r="F183" s="9">
        <v>150</v>
      </c>
      <c r="G183" s="10">
        <v>6.6</v>
      </c>
      <c r="H183" s="10">
        <v>5.73</v>
      </c>
      <c r="I183" s="10">
        <v>37.880000000000003</v>
      </c>
      <c r="J183" s="10">
        <v>229.5</v>
      </c>
      <c r="K183" s="11">
        <v>0</v>
      </c>
      <c r="L183" s="9">
        <v>313</v>
      </c>
    </row>
    <row r="184" spans="1:12" x14ac:dyDescent="0.25">
      <c r="A184" s="125"/>
      <c r="B184" s="127"/>
      <c r="C184" s="125" t="s">
        <v>39</v>
      </c>
      <c r="D184" s="126"/>
      <c r="E184" s="127"/>
      <c r="F184" s="9">
        <v>80</v>
      </c>
      <c r="G184" s="10">
        <v>0.48</v>
      </c>
      <c r="H184" s="10">
        <v>2.81</v>
      </c>
      <c r="I184" s="10">
        <v>2.93</v>
      </c>
      <c r="J184" s="10">
        <v>38.96</v>
      </c>
      <c r="K184" s="11">
        <v>0.22</v>
      </c>
      <c r="L184" s="13">
        <v>247</v>
      </c>
    </row>
    <row r="185" spans="1:12" x14ac:dyDescent="0.25">
      <c r="A185" s="143"/>
      <c r="B185" s="144"/>
      <c r="C185" s="125" t="s">
        <v>31</v>
      </c>
      <c r="D185" s="126"/>
      <c r="E185" s="127"/>
      <c r="F185" s="9">
        <v>15</v>
      </c>
      <c r="G185" s="10">
        <v>0.4</v>
      </c>
      <c r="H185" s="10">
        <v>1.38</v>
      </c>
      <c r="I185" s="10">
        <v>1.48</v>
      </c>
      <c r="J185" s="10">
        <v>20.07</v>
      </c>
      <c r="K185" s="11">
        <v>0.05</v>
      </c>
      <c r="L185" s="9">
        <v>352</v>
      </c>
    </row>
    <row r="186" spans="1:12" x14ac:dyDescent="0.25">
      <c r="A186" s="143"/>
      <c r="B186" s="144"/>
      <c r="C186" s="125" t="s">
        <v>159</v>
      </c>
      <c r="D186" s="126"/>
      <c r="E186" s="127"/>
      <c r="F186" s="9">
        <v>60</v>
      </c>
      <c r="G186" s="10">
        <v>3.93</v>
      </c>
      <c r="H186" s="10">
        <v>4.1399999999999997</v>
      </c>
      <c r="I186" s="10">
        <v>3.23</v>
      </c>
      <c r="J186" s="10">
        <v>65.94</v>
      </c>
      <c r="K186" s="11">
        <v>3.89</v>
      </c>
      <c r="L186" s="9">
        <v>51</v>
      </c>
    </row>
    <row r="187" spans="1:12" ht="15" customHeight="1" x14ac:dyDescent="0.25">
      <c r="A187" s="143"/>
      <c r="B187" s="144"/>
      <c r="C187" s="145" t="s">
        <v>167</v>
      </c>
      <c r="D187" s="146"/>
      <c r="E187" s="147"/>
      <c r="F187" s="9">
        <v>150</v>
      </c>
      <c r="G187" s="10">
        <v>0.15</v>
      </c>
      <c r="H187" s="10">
        <v>0.09</v>
      </c>
      <c r="I187" s="10">
        <v>16.61</v>
      </c>
      <c r="J187" s="10">
        <v>68.099999999999994</v>
      </c>
      <c r="K187" s="11">
        <v>19.350000000000001</v>
      </c>
      <c r="L187" s="9">
        <v>375</v>
      </c>
    </row>
    <row r="188" spans="1:12" ht="15" customHeight="1" x14ac:dyDescent="0.25">
      <c r="A188" s="125"/>
      <c r="B188" s="127"/>
      <c r="C188" s="145" t="s">
        <v>11</v>
      </c>
      <c r="D188" s="146"/>
      <c r="E188" s="147"/>
      <c r="F188" s="9">
        <v>50</v>
      </c>
      <c r="G188" s="10">
        <v>4.24</v>
      </c>
      <c r="H188" s="10">
        <v>8.7100000000000009</v>
      </c>
      <c r="I188" s="10">
        <v>29.52</v>
      </c>
      <c r="J188" s="10">
        <v>213</v>
      </c>
      <c r="K188" s="11">
        <v>7.0000000000000007E-2</v>
      </c>
      <c r="L188" s="12">
        <v>492</v>
      </c>
    </row>
    <row r="189" spans="1:12" x14ac:dyDescent="0.25">
      <c r="A189" s="125" t="s">
        <v>89</v>
      </c>
      <c r="B189" s="127"/>
      <c r="C189" s="125" t="s">
        <v>173</v>
      </c>
      <c r="D189" s="126"/>
      <c r="E189" s="127"/>
      <c r="F189" s="9">
        <v>150</v>
      </c>
      <c r="G189" s="10">
        <v>2.82</v>
      </c>
      <c r="H189" s="10">
        <v>6.1050000000000004</v>
      </c>
      <c r="I189" s="10">
        <v>14.265000000000001</v>
      </c>
      <c r="J189" s="10">
        <v>123.3</v>
      </c>
      <c r="K189" s="11">
        <v>10.17</v>
      </c>
      <c r="L189" s="14">
        <v>342</v>
      </c>
    </row>
    <row r="190" spans="1:12" x14ac:dyDescent="0.25">
      <c r="A190" s="125"/>
      <c r="B190" s="127"/>
      <c r="C190" s="125" t="s">
        <v>133</v>
      </c>
      <c r="D190" s="126"/>
      <c r="E190" s="127"/>
      <c r="F190" s="9">
        <v>40</v>
      </c>
      <c r="G190" s="10">
        <f>69.57/1000*40</f>
        <v>2.7827999999999999</v>
      </c>
      <c r="H190" s="10">
        <f>24.32/1000*40</f>
        <v>0.97280000000000011</v>
      </c>
      <c r="I190" s="10">
        <f>479.32/1000*40</f>
        <v>19.172799999999999</v>
      </c>
      <c r="J190" s="10">
        <f>2414/1000*40</f>
        <v>96.56</v>
      </c>
      <c r="K190" s="11">
        <v>0</v>
      </c>
      <c r="L190" s="9">
        <v>453</v>
      </c>
    </row>
    <row r="191" spans="1:12" x14ac:dyDescent="0.25">
      <c r="A191" s="125"/>
      <c r="B191" s="127"/>
      <c r="C191" s="125" t="s">
        <v>177</v>
      </c>
      <c r="D191" s="126"/>
      <c r="E191" s="127"/>
      <c r="F191" s="9">
        <v>150</v>
      </c>
      <c r="G191" s="10">
        <v>0.04</v>
      </c>
      <c r="H191" s="10">
        <v>0.01</v>
      </c>
      <c r="I191" s="10">
        <v>6.99</v>
      </c>
      <c r="J191" s="10">
        <v>28</v>
      </c>
      <c r="K191" s="11">
        <v>0.02</v>
      </c>
      <c r="L191" s="9">
        <v>392</v>
      </c>
    </row>
    <row r="192" spans="1:12" ht="29.25" customHeight="1" x14ac:dyDescent="0.25">
      <c r="A192" s="25" t="s">
        <v>119</v>
      </c>
      <c r="B192" s="26"/>
      <c r="C192" s="135"/>
      <c r="D192" s="136"/>
      <c r="E192" s="137"/>
      <c r="F192" s="15">
        <f t="shared" ref="F192:K192" si="9">SUM(F176:F191)</f>
        <v>1795</v>
      </c>
      <c r="G192" s="16">
        <f t="shared" si="9"/>
        <v>39.650599999999997</v>
      </c>
      <c r="H192" s="16">
        <f t="shared" si="9"/>
        <v>43.230099999999993</v>
      </c>
      <c r="I192" s="16">
        <f t="shared" si="9"/>
        <v>263.34110000000004</v>
      </c>
      <c r="J192" s="16">
        <f t="shared" si="9"/>
        <v>1600.2174999999997</v>
      </c>
      <c r="K192" s="17">
        <f t="shared" si="9"/>
        <v>64.199999999999989</v>
      </c>
      <c r="L192" s="15"/>
    </row>
    <row r="193" spans="1:12" x14ac:dyDescent="0.25">
      <c r="A193" s="138" t="s">
        <v>120</v>
      </c>
      <c r="B193" s="139"/>
      <c r="C193" s="140"/>
      <c r="D193" s="141"/>
      <c r="E193" s="142"/>
      <c r="F193" s="27">
        <f t="shared" ref="F193:K193" si="10">SUM(F26+F45+F65+F83+F101+F119+F138+F156+F174+F192)</f>
        <v>18485.008999999998</v>
      </c>
      <c r="G193" s="28">
        <f t="shared" si="10"/>
        <v>1263.8765999999998</v>
      </c>
      <c r="H193" s="28">
        <f t="shared" si="10"/>
        <v>588.71609999999998</v>
      </c>
      <c r="I193" s="28">
        <f t="shared" si="10"/>
        <v>2506.7070999999996</v>
      </c>
      <c r="J193" s="28">
        <f t="shared" si="10"/>
        <v>17720.307499999999</v>
      </c>
      <c r="K193" s="29">
        <f t="shared" si="10"/>
        <v>619.98299999999995</v>
      </c>
      <c r="L193" s="27"/>
    </row>
    <row r="194" spans="1:12" ht="15" customHeight="1" x14ac:dyDescent="0.25">
      <c r="A194" s="130" t="s">
        <v>121</v>
      </c>
      <c r="B194" s="131"/>
      <c r="C194" s="132"/>
      <c r="D194" s="133"/>
      <c r="E194" s="134"/>
      <c r="F194" s="18">
        <v>2057.5</v>
      </c>
      <c r="G194" s="20">
        <v>57.067</v>
      </c>
      <c r="H194" s="20">
        <v>57.363</v>
      </c>
      <c r="I194" s="20">
        <v>249.35</v>
      </c>
      <c r="J194" s="20">
        <v>1740</v>
      </c>
      <c r="K194" s="20">
        <v>78.314999999999998</v>
      </c>
      <c r="L194" s="18"/>
    </row>
    <row r="195" spans="1:12" ht="15" customHeight="1" x14ac:dyDescent="0.25">
      <c r="A195" s="130" t="s">
        <v>122</v>
      </c>
      <c r="B195" s="131"/>
      <c r="C195" s="132"/>
      <c r="D195" s="133"/>
      <c r="E195" s="134"/>
      <c r="F195" s="18"/>
      <c r="G195" s="19"/>
      <c r="H195" s="19"/>
      <c r="I195" s="19"/>
      <c r="J195" s="19"/>
      <c r="K195" s="20"/>
      <c r="L195" s="18"/>
    </row>
  </sheetData>
  <mergeCells count="385"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3:B193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C192:E192"/>
    <mergeCell ref="C193:E193"/>
    <mergeCell ref="C194:E194"/>
    <mergeCell ref="C195:E195"/>
    <mergeCell ref="A152:B152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74:E174"/>
    <mergeCell ref="C176:E176"/>
    <mergeCell ref="C177:E177"/>
    <mergeCell ref="C178:E178"/>
    <mergeCell ref="C179:E179"/>
    <mergeCell ref="C180:E180"/>
    <mergeCell ref="C181:E181"/>
    <mergeCell ref="C182:E182"/>
    <mergeCell ref="C175:L175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A1:C1"/>
    <mergeCell ref="K1:L1"/>
    <mergeCell ref="I2:L2"/>
    <mergeCell ref="A4:L4"/>
    <mergeCell ref="A5:B7"/>
    <mergeCell ref="C5:E7"/>
    <mergeCell ref="F5:F7"/>
    <mergeCell ref="G5:I6"/>
    <mergeCell ref="J5:J7"/>
    <mergeCell ref="K5:K7"/>
    <mergeCell ref="A11:B11"/>
    <mergeCell ref="C11:E11"/>
    <mergeCell ref="A12:B12"/>
    <mergeCell ref="C12:E12"/>
    <mergeCell ref="A13:B13"/>
    <mergeCell ref="C13:E13"/>
    <mergeCell ref="L5:L7"/>
    <mergeCell ref="A8:B8"/>
    <mergeCell ref="C8:L8"/>
    <mergeCell ref="A9:B9"/>
    <mergeCell ref="C9:L9"/>
    <mergeCell ref="A10:B10"/>
    <mergeCell ref="C10:E10"/>
    <mergeCell ref="A17:B17"/>
    <mergeCell ref="C17:E17"/>
    <mergeCell ref="A18:B18"/>
    <mergeCell ref="C18:E18"/>
    <mergeCell ref="A19:B19"/>
    <mergeCell ref="C19:E19"/>
    <mergeCell ref="A14:B14"/>
    <mergeCell ref="C14:E14"/>
    <mergeCell ref="A15:B15"/>
    <mergeCell ref="C15:E15"/>
    <mergeCell ref="A16:B16"/>
    <mergeCell ref="C16:E16"/>
    <mergeCell ref="A23:B23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A22:B22"/>
    <mergeCell ref="C22:E22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A42:B42"/>
    <mergeCell ref="C42:E42"/>
    <mergeCell ref="A43:B43"/>
    <mergeCell ref="C43:E43"/>
    <mergeCell ref="A38:B38"/>
    <mergeCell ref="C38:E38"/>
    <mergeCell ref="A39:B39"/>
    <mergeCell ref="C39:E39"/>
    <mergeCell ref="A40:B40"/>
    <mergeCell ref="C40:E40"/>
    <mergeCell ref="A41:B41"/>
    <mergeCell ref="C41:E41"/>
    <mergeCell ref="A47:B47"/>
    <mergeCell ref="C47:E47"/>
    <mergeCell ref="A48:B48"/>
    <mergeCell ref="C48:E48"/>
    <mergeCell ref="A49:B49"/>
    <mergeCell ref="C49:E49"/>
    <mergeCell ref="A44:B44"/>
    <mergeCell ref="C44:E44"/>
    <mergeCell ref="A45:B45"/>
    <mergeCell ref="C45:E45"/>
    <mergeCell ref="A46:B46"/>
    <mergeCell ref="C46:E46"/>
    <mergeCell ref="A53:B53"/>
    <mergeCell ref="C53:E53"/>
    <mergeCell ref="A54:B54"/>
    <mergeCell ref="C54:E54"/>
    <mergeCell ref="A55:B55"/>
    <mergeCell ref="C55:E55"/>
    <mergeCell ref="A50:B50"/>
    <mergeCell ref="C50:E50"/>
    <mergeCell ref="A51:B51"/>
    <mergeCell ref="C51:E51"/>
    <mergeCell ref="A52:B52"/>
    <mergeCell ref="C52:E52"/>
    <mergeCell ref="A59:B59"/>
    <mergeCell ref="C59:E59"/>
    <mergeCell ref="A60:B60"/>
    <mergeCell ref="C60:E60"/>
    <mergeCell ref="A62:B62"/>
    <mergeCell ref="C62:E62"/>
    <mergeCell ref="A56:B56"/>
    <mergeCell ref="C56:E56"/>
    <mergeCell ref="A57:B57"/>
    <mergeCell ref="C57:E57"/>
    <mergeCell ref="A58:B58"/>
    <mergeCell ref="C58:E58"/>
    <mergeCell ref="C61:E61"/>
    <mergeCell ref="A67:B67"/>
    <mergeCell ref="C67:E67"/>
    <mergeCell ref="A68:B68"/>
    <mergeCell ref="C68:E68"/>
    <mergeCell ref="A69:B69"/>
    <mergeCell ref="C69:E69"/>
    <mergeCell ref="A63:B63"/>
    <mergeCell ref="C63:E63"/>
    <mergeCell ref="A65:B65"/>
    <mergeCell ref="C65:E65"/>
    <mergeCell ref="A66:B66"/>
    <mergeCell ref="C66:E66"/>
    <mergeCell ref="A64:B64"/>
    <mergeCell ref="C64:E64"/>
    <mergeCell ref="A73:B73"/>
    <mergeCell ref="C73:E73"/>
    <mergeCell ref="A74:B74"/>
    <mergeCell ref="C74:E74"/>
    <mergeCell ref="A75:B75"/>
    <mergeCell ref="C75:E75"/>
    <mergeCell ref="A70:B70"/>
    <mergeCell ref="C70:E70"/>
    <mergeCell ref="A71:B71"/>
    <mergeCell ref="C71:E71"/>
    <mergeCell ref="A72:B72"/>
    <mergeCell ref="C72:E72"/>
    <mergeCell ref="A79:B79"/>
    <mergeCell ref="C79:E79"/>
    <mergeCell ref="A80:B80"/>
    <mergeCell ref="C80:E80"/>
    <mergeCell ref="A81:B81"/>
    <mergeCell ref="C81:E81"/>
    <mergeCell ref="A76:B76"/>
    <mergeCell ref="C76:E76"/>
    <mergeCell ref="A77:B77"/>
    <mergeCell ref="C77:E77"/>
    <mergeCell ref="A78:B78"/>
    <mergeCell ref="C78:E78"/>
    <mergeCell ref="A85:B85"/>
    <mergeCell ref="C85:E85"/>
    <mergeCell ref="A86:B86"/>
    <mergeCell ref="C86:E86"/>
    <mergeCell ref="A87:B87"/>
    <mergeCell ref="C87:E87"/>
    <mergeCell ref="A82:B82"/>
    <mergeCell ref="C82:E82"/>
    <mergeCell ref="A83:B83"/>
    <mergeCell ref="C83:E83"/>
    <mergeCell ref="A84:B84"/>
    <mergeCell ref="C84:E84"/>
    <mergeCell ref="A91:B91"/>
    <mergeCell ref="C91:E91"/>
    <mergeCell ref="A92:B92"/>
    <mergeCell ref="C92:E92"/>
    <mergeCell ref="A93:B93"/>
    <mergeCell ref="C93:E93"/>
    <mergeCell ref="A88:B88"/>
    <mergeCell ref="C88:E88"/>
    <mergeCell ref="A89:B89"/>
    <mergeCell ref="C89:E89"/>
    <mergeCell ref="A90:B90"/>
    <mergeCell ref="C90:E90"/>
    <mergeCell ref="A97:B97"/>
    <mergeCell ref="C97:E97"/>
    <mergeCell ref="A98:B98"/>
    <mergeCell ref="C98:E98"/>
    <mergeCell ref="A99:B99"/>
    <mergeCell ref="C99:E99"/>
    <mergeCell ref="A94:B94"/>
    <mergeCell ref="C94:E94"/>
    <mergeCell ref="A95:B95"/>
    <mergeCell ref="C95:E95"/>
    <mergeCell ref="A96:B96"/>
    <mergeCell ref="C96:E96"/>
    <mergeCell ref="A103:B103"/>
    <mergeCell ref="C103:E103"/>
    <mergeCell ref="A104:B104"/>
    <mergeCell ref="C104:E104"/>
    <mergeCell ref="A105:B105"/>
    <mergeCell ref="C105:E105"/>
    <mergeCell ref="A100:B100"/>
    <mergeCell ref="C100:E100"/>
    <mergeCell ref="A101:B101"/>
    <mergeCell ref="C101:E101"/>
    <mergeCell ref="A102:B102"/>
    <mergeCell ref="C102:E102"/>
    <mergeCell ref="A109:B109"/>
    <mergeCell ref="C109:E109"/>
    <mergeCell ref="A110:B110"/>
    <mergeCell ref="C110:E110"/>
    <mergeCell ref="A111:B111"/>
    <mergeCell ref="C111:E111"/>
    <mergeCell ref="A106:B106"/>
    <mergeCell ref="C106:E106"/>
    <mergeCell ref="A107:B107"/>
    <mergeCell ref="C107:E107"/>
    <mergeCell ref="A108:B108"/>
    <mergeCell ref="C108:E108"/>
    <mergeCell ref="A115:B115"/>
    <mergeCell ref="C115:E115"/>
    <mergeCell ref="A116:B116"/>
    <mergeCell ref="C116:E116"/>
    <mergeCell ref="A117:B117"/>
    <mergeCell ref="C117:E117"/>
    <mergeCell ref="A112:B112"/>
    <mergeCell ref="C112:E112"/>
    <mergeCell ref="A113:B113"/>
    <mergeCell ref="C113:E113"/>
    <mergeCell ref="A114:B114"/>
    <mergeCell ref="C114:E114"/>
    <mergeCell ref="A121:B121"/>
    <mergeCell ref="C121:E121"/>
    <mergeCell ref="A122:B122"/>
    <mergeCell ref="C122:E122"/>
    <mergeCell ref="A123:B123"/>
    <mergeCell ref="C123:E123"/>
    <mergeCell ref="A118:B118"/>
    <mergeCell ref="C118:E118"/>
    <mergeCell ref="A119:B119"/>
    <mergeCell ref="C119:E119"/>
    <mergeCell ref="A120:B120"/>
    <mergeCell ref="C120:E120"/>
    <mergeCell ref="A127:B127"/>
    <mergeCell ref="C127:E127"/>
    <mergeCell ref="A128:B128"/>
    <mergeCell ref="C128:E128"/>
    <mergeCell ref="A129:B129"/>
    <mergeCell ref="C129:E129"/>
    <mergeCell ref="A124:B124"/>
    <mergeCell ref="C124:E124"/>
    <mergeCell ref="A125:B125"/>
    <mergeCell ref="C125:E125"/>
    <mergeCell ref="A126:B126"/>
    <mergeCell ref="C126:E126"/>
    <mergeCell ref="A133:B133"/>
    <mergeCell ref="C133:E133"/>
    <mergeCell ref="A134:B134"/>
    <mergeCell ref="C134:E134"/>
    <mergeCell ref="A135:B135"/>
    <mergeCell ref="C135:E135"/>
    <mergeCell ref="A130:B130"/>
    <mergeCell ref="C130:E130"/>
    <mergeCell ref="A131:B131"/>
    <mergeCell ref="C131:E131"/>
    <mergeCell ref="A132:B132"/>
    <mergeCell ref="C132:E132"/>
    <mergeCell ref="A139:B139"/>
    <mergeCell ref="C139:E139"/>
    <mergeCell ref="A140:B140"/>
    <mergeCell ref="C140:E140"/>
    <mergeCell ref="A141:B141"/>
    <mergeCell ref="C141:E141"/>
    <mergeCell ref="A136:B136"/>
    <mergeCell ref="C136:E136"/>
    <mergeCell ref="A137:B137"/>
    <mergeCell ref="C137:E137"/>
    <mergeCell ref="A138:B138"/>
    <mergeCell ref="C138:E138"/>
    <mergeCell ref="A145:B145"/>
    <mergeCell ref="C145:E145"/>
    <mergeCell ref="A146:B146"/>
    <mergeCell ref="C146:E146"/>
    <mergeCell ref="A147:B147"/>
    <mergeCell ref="C147:E147"/>
    <mergeCell ref="A142:B142"/>
    <mergeCell ref="C142:E142"/>
    <mergeCell ref="A143:B143"/>
    <mergeCell ref="C143:E143"/>
    <mergeCell ref="A144:B144"/>
    <mergeCell ref="C144:E144"/>
    <mergeCell ref="A155:B155"/>
    <mergeCell ref="C155:E155"/>
    <mergeCell ref="A151:B151"/>
    <mergeCell ref="C151:E151"/>
    <mergeCell ref="A153:B153"/>
    <mergeCell ref="C153:E153"/>
    <mergeCell ref="A154:B154"/>
    <mergeCell ref="C154:E154"/>
    <mergeCell ref="A148:B148"/>
    <mergeCell ref="C148:E148"/>
    <mergeCell ref="A149:B149"/>
    <mergeCell ref="C149:E149"/>
    <mergeCell ref="A150:B150"/>
    <mergeCell ref="C150:E150"/>
    <mergeCell ref="C152:E152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Layout" topLeftCell="F13" zoomScale="120" zoomScaleNormal="100" zoomScaleSheetLayoutView="130" zoomScalePageLayoutView="120" workbookViewId="0">
      <selection activeCell="E3" sqref="E3:F3"/>
    </sheetView>
  </sheetViews>
  <sheetFormatPr defaultRowHeight="15" x14ac:dyDescent="0.25"/>
  <cols>
    <col min="1" max="1" width="30.28515625" style="32" customWidth="1"/>
    <col min="2" max="10" width="30.28515625" customWidth="1"/>
    <col min="11" max="22" width="9.140625" style="32"/>
  </cols>
  <sheetData>
    <row r="1" spans="1:22" ht="21.75" customHeight="1" x14ac:dyDescent="0.25">
      <c r="A1" s="117"/>
      <c r="B1" s="117"/>
      <c r="C1" s="117"/>
      <c r="D1" s="5"/>
      <c r="E1" s="57" t="s">
        <v>93</v>
      </c>
      <c r="F1" s="5"/>
      <c r="G1" s="5"/>
      <c r="H1" s="5"/>
      <c r="I1" s="5"/>
      <c r="J1" s="57" t="s">
        <v>93</v>
      </c>
      <c r="K1" s="5"/>
    </row>
    <row r="2" spans="1:22" ht="52.5" customHeight="1" x14ac:dyDescent="0.25">
      <c r="A2" s="6"/>
      <c r="B2" s="6"/>
      <c r="C2" s="6"/>
      <c r="D2" s="118" t="s">
        <v>313</v>
      </c>
      <c r="E2" s="118"/>
      <c r="F2" s="6"/>
      <c r="G2" s="6"/>
      <c r="H2" s="6"/>
      <c r="I2" s="118" t="s">
        <v>312</v>
      </c>
      <c r="J2" s="118"/>
      <c r="K2" s="6"/>
    </row>
    <row r="3" spans="1:22" ht="29.25" thickBot="1" x14ac:dyDescent="0.5">
      <c r="B3" s="32"/>
      <c r="C3" s="94" t="s">
        <v>199</v>
      </c>
      <c r="D3" s="32"/>
      <c r="E3" s="211"/>
      <c r="F3" s="211"/>
      <c r="H3" s="95" t="s">
        <v>200</v>
      </c>
    </row>
    <row r="4" spans="1:22" ht="23.25" thickBot="1" x14ac:dyDescent="0.3">
      <c r="A4" s="58" t="s">
        <v>0</v>
      </c>
      <c r="B4" s="59" t="s">
        <v>1</v>
      </c>
      <c r="C4" s="59" t="s">
        <v>2</v>
      </c>
      <c r="D4" s="59" t="s">
        <v>3</v>
      </c>
      <c r="E4" s="59" t="s">
        <v>4</v>
      </c>
      <c r="F4" s="59" t="s">
        <v>5</v>
      </c>
      <c r="G4" s="59" t="s">
        <v>6</v>
      </c>
      <c r="H4" s="60" t="s">
        <v>83</v>
      </c>
      <c r="I4" s="60" t="s">
        <v>7</v>
      </c>
      <c r="J4" s="61" t="s">
        <v>8</v>
      </c>
    </row>
    <row r="5" spans="1:22" ht="24" thickBot="1" x14ac:dyDescent="0.3">
      <c r="A5" s="62" t="s">
        <v>92</v>
      </c>
      <c r="B5" s="63"/>
      <c r="C5" s="63"/>
      <c r="D5" s="63"/>
      <c r="E5" s="64"/>
      <c r="F5" s="63"/>
      <c r="G5" s="63"/>
      <c r="H5" s="63"/>
      <c r="I5" s="63"/>
      <c r="J5" s="65"/>
    </row>
    <row r="6" spans="1:22" s="3" customFormat="1" ht="73.5" customHeight="1" x14ac:dyDescent="0.25">
      <c r="A6" s="66" t="s">
        <v>13</v>
      </c>
      <c r="B6" s="67" t="s">
        <v>12</v>
      </c>
      <c r="C6" s="67" t="s">
        <v>14</v>
      </c>
      <c r="D6" s="67" t="s">
        <v>186</v>
      </c>
      <c r="E6" s="68" t="s">
        <v>183</v>
      </c>
      <c r="F6" s="69" t="s">
        <v>19</v>
      </c>
      <c r="G6" s="70" t="s">
        <v>158</v>
      </c>
      <c r="H6" s="69" t="s">
        <v>17</v>
      </c>
      <c r="I6" s="67" t="s">
        <v>18</v>
      </c>
      <c r="J6" s="68" t="s">
        <v>79</v>
      </c>
      <c r="K6" s="32"/>
      <c r="L6" s="34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4" customFormat="1" ht="47.25" customHeight="1" x14ac:dyDescent="0.25">
      <c r="A7" s="66" t="s">
        <v>87</v>
      </c>
      <c r="B7" s="71" t="s">
        <v>88</v>
      </c>
      <c r="C7" s="72" t="s">
        <v>86</v>
      </c>
      <c r="D7" s="72" t="s">
        <v>87</v>
      </c>
      <c r="E7" s="72" t="s">
        <v>86</v>
      </c>
      <c r="F7" s="66" t="s">
        <v>86</v>
      </c>
      <c r="G7" s="72" t="s">
        <v>88</v>
      </c>
      <c r="H7" s="72" t="s">
        <v>87</v>
      </c>
      <c r="I7" s="66" t="s">
        <v>86</v>
      </c>
      <c r="J7" s="72" t="s">
        <v>87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33" customHeight="1" thickBot="1" x14ac:dyDescent="0.3">
      <c r="A8" s="66" t="s">
        <v>22</v>
      </c>
      <c r="B8" s="73" t="s">
        <v>9</v>
      </c>
      <c r="C8" s="73" t="s">
        <v>21</v>
      </c>
      <c r="D8" s="73" t="s">
        <v>20</v>
      </c>
      <c r="E8" s="73" t="s">
        <v>10</v>
      </c>
      <c r="F8" s="73" t="s">
        <v>22</v>
      </c>
      <c r="G8" s="73" t="s">
        <v>9</v>
      </c>
      <c r="H8" s="73" t="s">
        <v>21</v>
      </c>
      <c r="I8" s="73" t="s">
        <v>20</v>
      </c>
      <c r="J8" s="74" t="s">
        <v>10</v>
      </c>
    </row>
    <row r="9" spans="1:22" ht="24" thickBot="1" x14ac:dyDescent="0.3">
      <c r="A9" s="75" t="s">
        <v>91</v>
      </c>
      <c r="B9" s="76"/>
      <c r="C9" s="77"/>
      <c r="D9" s="77"/>
      <c r="E9" s="78"/>
      <c r="F9" s="76"/>
      <c r="G9" s="77"/>
      <c r="H9" s="77"/>
      <c r="I9" s="79"/>
      <c r="J9" s="80"/>
    </row>
    <row r="10" spans="1:22" s="3" customFormat="1" ht="29.25" customHeight="1" x14ac:dyDescent="0.25">
      <c r="A10" s="66" t="s">
        <v>76</v>
      </c>
      <c r="B10" s="67" t="s">
        <v>75</v>
      </c>
      <c r="C10" s="67" t="s">
        <v>76</v>
      </c>
      <c r="D10" s="67" t="s">
        <v>75</v>
      </c>
      <c r="E10" s="67" t="s">
        <v>76</v>
      </c>
      <c r="F10" s="67" t="s">
        <v>76</v>
      </c>
      <c r="G10" s="67" t="s">
        <v>75</v>
      </c>
      <c r="H10" s="67" t="s">
        <v>76</v>
      </c>
      <c r="I10" s="67" t="s">
        <v>75</v>
      </c>
      <c r="J10" s="68" t="s">
        <v>76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4" customFormat="1" ht="57.75" customHeight="1" x14ac:dyDescent="0.25">
      <c r="A11" s="66" t="s">
        <v>124</v>
      </c>
      <c r="B11" s="81" t="s">
        <v>68</v>
      </c>
      <c r="C11" s="82" t="s">
        <v>124</v>
      </c>
      <c r="D11" s="81" t="s">
        <v>184</v>
      </c>
      <c r="E11" s="82" t="s">
        <v>124</v>
      </c>
      <c r="F11" s="82" t="s">
        <v>124</v>
      </c>
      <c r="G11" s="81" t="s">
        <v>69</v>
      </c>
      <c r="H11" s="82" t="s">
        <v>124</v>
      </c>
      <c r="I11" s="81" t="s">
        <v>184</v>
      </c>
      <c r="J11" s="83" t="s">
        <v>124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24" thickBot="1" x14ac:dyDescent="0.3">
      <c r="A12" s="84" t="s">
        <v>90</v>
      </c>
      <c r="B12" s="85"/>
      <c r="C12" s="85"/>
      <c r="D12" s="85"/>
      <c r="E12" s="85"/>
      <c r="F12" s="84"/>
      <c r="G12" s="85"/>
      <c r="H12" s="85"/>
      <c r="I12" s="84"/>
      <c r="J12" s="86"/>
    </row>
    <row r="13" spans="1:22" s="3" customFormat="1" ht="72" customHeight="1" x14ac:dyDescent="0.25">
      <c r="A13" s="66" t="s">
        <v>44</v>
      </c>
      <c r="B13" s="67" t="s">
        <v>185</v>
      </c>
      <c r="C13" s="70" t="s">
        <v>47</v>
      </c>
      <c r="D13" s="69" t="s">
        <v>42</v>
      </c>
      <c r="E13" s="67" t="s">
        <v>49</v>
      </c>
      <c r="F13" s="87" t="s">
        <v>46</v>
      </c>
      <c r="G13" s="67" t="s">
        <v>41</v>
      </c>
      <c r="H13" s="70" t="s">
        <v>47</v>
      </c>
      <c r="I13" s="87" t="s">
        <v>48</v>
      </c>
      <c r="J13" s="68" t="s">
        <v>49</v>
      </c>
      <c r="K13" s="34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4" customFormat="1" ht="23.25" x14ac:dyDescent="0.25">
      <c r="A14" s="88" t="s">
        <v>63</v>
      </c>
      <c r="B14" s="89" t="s">
        <v>63</v>
      </c>
      <c r="C14" s="89" t="s">
        <v>63</v>
      </c>
      <c r="D14" s="90" t="s">
        <v>63</v>
      </c>
      <c r="E14" s="88" t="s">
        <v>63</v>
      </c>
      <c r="F14" s="88" t="s">
        <v>63</v>
      </c>
      <c r="G14" s="89" t="s">
        <v>63</v>
      </c>
      <c r="H14" s="89" t="s">
        <v>63</v>
      </c>
      <c r="I14" s="89" t="s">
        <v>63</v>
      </c>
      <c r="J14" s="91" t="s">
        <v>63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s="4" customFormat="1" ht="45.75" customHeight="1" x14ac:dyDescent="0.25">
      <c r="A15" s="66" t="s">
        <v>37</v>
      </c>
      <c r="B15" s="81" t="s">
        <v>187</v>
      </c>
      <c r="C15" s="81" t="s">
        <v>32</v>
      </c>
      <c r="D15" s="71" t="s">
        <v>182</v>
      </c>
      <c r="E15" s="66" t="s">
        <v>28</v>
      </c>
      <c r="F15" s="66" t="s">
        <v>206</v>
      </c>
      <c r="G15" s="81" t="s">
        <v>205</v>
      </c>
      <c r="H15" s="81" t="s">
        <v>30</v>
      </c>
      <c r="I15" s="81" t="s">
        <v>204</v>
      </c>
      <c r="J15" s="81" t="s">
        <v>32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4" customFormat="1" ht="45.75" customHeight="1" x14ac:dyDescent="0.25">
      <c r="A16" s="66" t="s">
        <v>34</v>
      </c>
      <c r="B16" s="81" t="s">
        <v>136</v>
      </c>
      <c r="C16" s="81" t="s">
        <v>209</v>
      </c>
      <c r="D16" s="71" t="s">
        <v>36</v>
      </c>
      <c r="E16" s="66" t="s">
        <v>25</v>
      </c>
      <c r="F16" s="66" t="s">
        <v>56</v>
      </c>
      <c r="G16" s="81" t="s">
        <v>191</v>
      </c>
      <c r="H16" s="83" t="s">
        <v>203</v>
      </c>
      <c r="I16" s="81" t="s">
        <v>202</v>
      </c>
      <c r="J16" s="83" t="s">
        <v>201</v>
      </c>
      <c r="K16" s="34"/>
      <c r="L16" s="34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4" customFormat="1" ht="46.5" x14ac:dyDescent="0.25">
      <c r="A17" s="66"/>
      <c r="B17" s="81" t="s">
        <v>26</v>
      </c>
      <c r="C17" s="81" t="s">
        <v>24</v>
      </c>
      <c r="D17" s="71" t="s">
        <v>52</v>
      </c>
      <c r="E17" s="66" t="s">
        <v>24</v>
      </c>
      <c r="F17" s="66" t="s">
        <v>52</v>
      </c>
      <c r="G17" s="81" t="s">
        <v>24</v>
      </c>
      <c r="H17" s="81" t="s">
        <v>24</v>
      </c>
      <c r="I17" s="81" t="s">
        <v>52</v>
      </c>
      <c r="J17" s="83" t="s">
        <v>24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4" customFormat="1" ht="77.25" customHeight="1" x14ac:dyDescent="0.25">
      <c r="A18" s="66" t="s">
        <v>127</v>
      </c>
      <c r="B18" s="81" t="s">
        <v>156</v>
      </c>
      <c r="C18" s="81" t="s">
        <v>58</v>
      </c>
      <c r="D18" s="71" t="s">
        <v>61</v>
      </c>
      <c r="E18" s="66" t="s">
        <v>59</v>
      </c>
      <c r="F18" s="66" t="s">
        <v>195</v>
      </c>
      <c r="G18" s="81" t="s">
        <v>151</v>
      </c>
      <c r="H18" s="81" t="s">
        <v>57</v>
      </c>
      <c r="I18" s="81" t="s">
        <v>156</v>
      </c>
      <c r="J18" s="83" t="s">
        <v>159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4" customFormat="1" ht="93.75" customHeight="1" x14ac:dyDescent="0.25">
      <c r="A19" s="88" t="s">
        <v>62</v>
      </c>
      <c r="B19" s="89" t="s">
        <v>64</v>
      </c>
      <c r="C19" s="89" t="s">
        <v>65</v>
      </c>
      <c r="D19" s="90" t="s">
        <v>152</v>
      </c>
      <c r="E19" s="88" t="s">
        <v>188</v>
      </c>
      <c r="F19" s="88" t="s">
        <v>66</v>
      </c>
      <c r="G19" s="89" t="s">
        <v>152</v>
      </c>
      <c r="H19" s="89" t="s">
        <v>67</v>
      </c>
      <c r="I19" s="89" t="s">
        <v>65</v>
      </c>
      <c r="J19" s="91" t="s">
        <v>64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4" customFormat="1" ht="93" customHeight="1" x14ac:dyDescent="0.25">
      <c r="A20" s="88" t="s">
        <v>135</v>
      </c>
      <c r="B20" s="81" t="s">
        <v>73</v>
      </c>
      <c r="C20" s="89" t="s">
        <v>196</v>
      </c>
      <c r="D20" s="90" t="s">
        <v>144</v>
      </c>
      <c r="E20" s="88" t="s">
        <v>198</v>
      </c>
      <c r="F20" s="88" t="s">
        <v>72</v>
      </c>
      <c r="G20" s="89" t="s">
        <v>71</v>
      </c>
      <c r="H20" s="81" t="s">
        <v>74</v>
      </c>
      <c r="I20" s="89" t="s">
        <v>70</v>
      </c>
      <c r="J20" s="83" t="s">
        <v>197</v>
      </c>
      <c r="K20" s="32"/>
      <c r="L20" s="34"/>
      <c r="M20" s="56"/>
      <c r="N20" s="56"/>
      <c r="O20" s="32"/>
      <c r="P20" s="32"/>
      <c r="Q20" s="32"/>
      <c r="R20" s="32"/>
      <c r="S20" s="32"/>
      <c r="T20" s="32"/>
      <c r="U20" s="32"/>
      <c r="V20" s="32"/>
    </row>
    <row r="21" spans="1:22" ht="24" thickBot="1" x14ac:dyDescent="0.3">
      <c r="A21" s="208" t="s">
        <v>89</v>
      </c>
      <c r="B21" s="208"/>
      <c r="C21" s="208"/>
      <c r="D21" s="208"/>
      <c r="E21" s="208"/>
      <c r="F21" s="208"/>
      <c r="G21" s="208"/>
      <c r="H21" s="208"/>
      <c r="I21" s="208"/>
      <c r="J21" s="209"/>
    </row>
    <row r="22" spans="1:22" s="3" customFormat="1" ht="123.75" customHeight="1" x14ac:dyDescent="0.25">
      <c r="A22" s="66" t="s">
        <v>35</v>
      </c>
      <c r="B22" s="66" t="s">
        <v>51</v>
      </c>
      <c r="C22" s="66" t="s">
        <v>85</v>
      </c>
      <c r="D22" s="66" t="s">
        <v>130</v>
      </c>
      <c r="E22" s="66" t="s">
        <v>16</v>
      </c>
      <c r="F22" s="66" t="s">
        <v>78</v>
      </c>
      <c r="G22" s="66" t="s">
        <v>148</v>
      </c>
      <c r="H22" s="92" t="s">
        <v>80</v>
      </c>
      <c r="I22" s="66" t="s">
        <v>38</v>
      </c>
      <c r="J22" s="93" t="s">
        <v>153</v>
      </c>
      <c r="K22" s="32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s="4" customFormat="1" ht="23.25" x14ac:dyDescent="0.25">
      <c r="A23" s="88" t="s">
        <v>63</v>
      </c>
      <c r="B23" s="89" t="s">
        <v>63</v>
      </c>
      <c r="C23" s="89" t="s">
        <v>63</v>
      </c>
      <c r="D23" s="89" t="s">
        <v>63</v>
      </c>
      <c r="E23" s="90" t="s">
        <v>63</v>
      </c>
      <c r="F23" s="88" t="s">
        <v>63</v>
      </c>
      <c r="G23" s="89" t="s">
        <v>63</v>
      </c>
      <c r="H23" s="89" t="s">
        <v>63</v>
      </c>
      <c r="I23" s="89" t="s">
        <v>63</v>
      </c>
      <c r="J23" s="91" t="s">
        <v>63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s="4" customFormat="1" ht="51" customHeight="1" x14ac:dyDescent="0.25">
      <c r="A24" s="66" t="s">
        <v>132</v>
      </c>
      <c r="B24" s="81" t="s">
        <v>189</v>
      </c>
      <c r="C24" s="81" t="s">
        <v>81</v>
      </c>
      <c r="D24" s="81" t="s">
        <v>192</v>
      </c>
      <c r="E24" s="71" t="s">
        <v>193</v>
      </c>
      <c r="F24" s="66" t="s">
        <v>132</v>
      </c>
      <c r="G24" s="81" t="s">
        <v>189</v>
      </c>
      <c r="H24" s="81" t="s">
        <v>81</v>
      </c>
      <c r="I24" s="81" t="s">
        <v>190</v>
      </c>
      <c r="J24" s="83" t="s">
        <v>82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5.75" thickBot="1" x14ac:dyDescent="0.3">
      <c r="A25" s="113"/>
      <c r="B25" s="113"/>
      <c r="C25" s="113"/>
      <c r="D25" s="113"/>
      <c r="E25" s="113"/>
      <c r="F25" s="113"/>
      <c r="G25" s="113"/>
      <c r="H25" s="113"/>
      <c r="I25" s="113"/>
      <c r="J25" s="210"/>
    </row>
    <row r="26" spans="1:22" x14ac:dyDescent="0.25">
      <c r="A26" s="33"/>
      <c r="B26" s="52"/>
      <c r="C26" s="33"/>
      <c r="D26" s="33"/>
      <c r="E26" s="33"/>
      <c r="F26" s="33"/>
      <c r="G26" s="33"/>
      <c r="H26" s="33"/>
      <c r="I26" s="33"/>
      <c r="J26" s="37"/>
    </row>
    <row r="28" spans="1:22" ht="16.5" x14ac:dyDescent="0.25">
      <c r="B28" s="32"/>
      <c r="C28" s="34"/>
      <c r="D28" s="32"/>
      <c r="E28" s="34"/>
      <c r="F28" s="32"/>
      <c r="G28" s="55"/>
      <c r="H28" s="32"/>
    </row>
    <row r="29" spans="1:22" x14ac:dyDescent="0.25">
      <c r="B29" s="32"/>
      <c r="C29" s="32"/>
      <c r="D29" s="32"/>
      <c r="E29" s="32"/>
    </row>
    <row r="30" spans="1:22" x14ac:dyDescent="0.25">
      <c r="B30" s="32"/>
      <c r="C30" s="32"/>
      <c r="D30" s="32"/>
      <c r="E30" s="32"/>
    </row>
    <row r="31" spans="1:22" x14ac:dyDescent="0.25">
      <c r="B31" s="32"/>
      <c r="C31" s="32"/>
      <c r="D31" s="32"/>
      <c r="E31" s="32"/>
    </row>
  </sheetData>
  <mergeCells count="6">
    <mergeCell ref="A21:J21"/>
    <mergeCell ref="A25:J25"/>
    <mergeCell ref="D2:E2"/>
    <mergeCell ref="A1:C1"/>
    <mergeCell ref="I2:J2"/>
    <mergeCell ref="E3:F3"/>
  </mergeCells>
  <pageMargins left="0.35583333333333333" right="3.1770833333333331E-2" top="0.2096875" bottom="0.22875000000000001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общее меню</vt:lpstr>
      <vt:lpstr>1 группа</vt:lpstr>
      <vt:lpstr>2 группа</vt:lpstr>
      <vt:lpstr>общее меню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2022-05-13T05:01:31Z</dcterms:modified>
</cp:coreProperties>
</file>